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diagrams/data2.xml" ContentType="application/vnd.openxmlformats-officedocument.drawingml.diagramData+xml"/>
  <Override PartName="/xl/diagrams/layout2.xml" ContentType="application/vnd.openxmlformats-officedocument.drawingml.diagramLayout+xml"/>
  <Override PartName="/xl/diagrams/quickStyle2.xml" ContentType="application/vnd.openxmlformats-officedocument.drawingml.diagramStyle+xml"/>
  <Override PartName="/xl/diagrams/colors2.xml" ContentType="application/vnd.openxmlformats-officedocument.drawingml.diagramColors+xml"/>
  <Override PartName="/xl/diagrams/drawing2.xml" ContentType="application/vnd.ms-office.drawingml.diagramDrawing+xml"/>
  <Override PartName="/xl/diagrams/data3.xml" ContentType="application/vnd.openxmlformats-officedocument.drawingml.diagramData+xml"/>
  <Override PartName="/xl/diagrams/layout3.xml" ContentType="application/vnd.openxmlformats-officedocument.drawingml.diagramLayout+xml"/>
  <Override PartName="/xl/diagrams/quickStyle3.xml" ContentType="application/vnd.openxmlformats-officedocument.drawingml.diagramStyle+xml"/>
  <Override PartName="/xl/diagrams/colors3.xml" ContentType="application/vnd.openxmlformats-officedocument.drawingml.diagramColors+xml"/>
  <Override PartName="/xl/diagrams/drawing3.xml" ContentType="application/vnd.ms-office.drawingml.diagram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xml"/>
  <Override PartName="/xl/comments3.xml" ContentType="application/vnd.openxmlformats-officedocument.spreadsheetml.comments+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5.xml" ContentType="application/vnd.openxmlformats-officedocument.drawing+xml"/>
  <Override PartName="/xl/comments4.xml" ContentType="application/vnd.openxmlformats-officedocument.spreadsheetml.comments+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6.xml" ContentType="application/vnd.openxmlformats-officedocument.drawing+xml"/>
  <Override PartName="/xl/comments5.xml" ContentType="application/vnd.openxmlformats-officedocument.spreadsheetml.comments+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drawings/drawing7.xml" ContentType="application/vnd.openxmlformats-officedocument.drawing+xml"/>
  <Override PartName="/xl/comments6.xml" ContentType="application/vnd.openxmlformats-officedocument.spreadsheetml.comments+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8.xml" ContentType="application/vnd.openxmlformats-officedocument.drawing+xml"/>
  <Override PartName="/xl/comments7.xml" ContentType="application/vnd.openxmlformats-officedocument.spreadsheetml.comments+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drawings/drawing9.xml" ContentType="application/vnd.openxmlformats-officedocument.drawing+xml"/>
  <Override PartName="/xl/comments8.xml" ContentType="application/vnd.openxmlformats-officedocument.spreadsheetml.comments+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drawings/drawing10.xml" ContentType="application/vnd.openxmlformats-officedocument.drawing+xml"/>
  <Override PartName="/xl/comments9.xml" ContentType="application/vnd.openxmlformats-officedocument.spreadsheetml.comments+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xl/charts/chart24.xml" ContentType="application/vnd.openxmlformats-officedocument.drawingml.chart+xml"/>
  <Override PartName="/xl/charts/style24.xml" ContentType="application/vnd.ms-office.chartstyle+xml"/>
  <Override PartName="/xl/charts/colors24.xml" ContentType="application/vnd.ms-office.chartcolorstyle+xml"/>
  <Override PartName="/xl/charts/chart25.xml" ContentType="application/vnd.openxmlformats-officedocument.drawingml.chart+xml"/>
  <Override PartName="/xl/charts/style25.xml" ContentType="application/vnd.ms-office.chartstyle+xml"/>
  <Override PartName="/xl/charts/colors25.xml" ContentType="application/vnd.ms-office.chartcolorstyle+xml"/>
  <Override PartName="/xl/charts/chart26.xml" ContentType="application/vnd.openxmlformats-officedocument.drawingml.chart+xml"/>
  <Override PartName="/xl/charts/style26.xml" ContentType="application/vnd.ms-office.chartstyle+xml"/>
  <Override PartName="/xl/charts/colors26.xml" ContentType="application/vnd.ms-office.chartcolorstyle+xml"/>
  <Override PartName="/xl/drawings/drawing11.xml" ContentType="application/vnd.openxmlformats-officedocument.drawing+xml"/>
  <Override PartName="/xl/comments10.xml" ContentType="application/vnd.openxmlformats-officedocument.spreadsheetml.comments+xml"/>
  <Override PartName="/xl/charts/chart27.xml" ContentType="application/vnd.openxmlformats-officedocument.drawingml.chart+xml"/>
  <Override PartName="/xl/charts/style27.xml" ContentType="application/vnd.ms-office.chartstyle+xml"/>
  <Override PartName="/xl/charts/colors27.xml" ContentType="application/vnd.ms-office.chartcolorstyle+xml"/>
  <Override PartName="/xl/charts/chart28.xml" ContentType="application/vnd.openxmlformats-officedocument.drawingml.chart+xml"/>
  <Override PartName="/xl/charts/style28.xml" ContentType="application/vnd.ms-office.chartstyle+xml"/>
  <Override PartName="/xl/charts/colors28.xml" ContentType="application/vnd.ms-office.chartcolorstyle+xml"/>
  <Override PartName="/xl/charts/chart29.xml" ContentType="application/vnd.openxmlformats-officedocument.drawingml.chart+xml"/>
  <Override PartName="/xl/charts/style29.xml" ContentType="application/vnd.ms-office.chartstyle+xml"/>
  <Override PartName="/xl/charts/colors29.xml" ContentType="application/vnd.ms-office.chartcolorstyle+xml"/>
  <Override PartName="/xl/charts/chart30.xml" ContentType="application/vnd.openxmlformats-officedocument.drawingml.chart+xml"/>
  <Override PartName="/xl/charts/style30.xml" ContentType="application/vnd.ms-office.chartstyle+xml"/>
  <Override PartName="/xl/charts/colors30.xml" ContentType="application/vnd.ms-office.chartcolorstyle+xml"/>
  <Override PartName="/xl/drawings/drawing12.xml" ContentType="application/vnd.openxmlformats-officedocument.drawing+xml"/>
  <Override PartName="/xl/comments11.xml" ContentType="application/vnd.openxmlformats-officedocument.spreadsheetml.comments+xml"/>
  <Override PartName="/xl/charts/chart31.xml" ContentType="application/vnd.openxmlformats-officedocument.drawingml.chart+xml"/>
  <Override PartName="/xl/charts/style31.xml" ContentType="application/vnd.ms-office.chartstyle+xml"/>
  <Override PartName="/xl/charts/colors31.xml" ContentType="application/vnd.ms-office.chartcolorstyle+xml"/>
  <Override PartName="/xl/charts/chart32.xml" ContentType="application/vnd.openxmlformats-officedocument.drawingml.chart+xml"/>
  <Override PartName="/xl/charts/style32.xml" ContentType="application/vnd.ms-office.chartstyle+xml"/>
  <Override PartName="/xl/charts/colors32.xml" ContentType="application/vnd.ms-office.chartcolorstyle+xml"/>
  <Override PartName="/xl/charts/chart33.xml" ContentType="application/vnd.openxmlformats-officedocument.drawingml.chart+xml"/>
  <Override PartName="/xl/charts/style33.xml" ContentType="application/vnd.ms-office.chartstyle+xml"/>
  <Override PartName="/xl/charts/colors33.xml" ContentType="application/vnd.ms-office.chartcolorstyle+xml"/>
  <Override PartName="/xl/charts/chart34.xml" ContentType="application/vnd.openxmlformats-officedocument.drawingml.chart+xml"/>
  <Override PartName="/xl/charts/style34.xml" ContentType="application/vnd.ms-office.chartstyle+xml"/>
  <Override PartName="/xl/charts/colors34.xml" ContentType="application/vnd.ms-office.chartcolorstyle+xml"/>
  <Override PartName="/xl/drawings/drawing13.xml" ContentType="application/vnd.openxmlformats-officedocument.drawing+xml"/>
  <Override PartName="/xl/comments12.xml" ContentType="application/vnd.openxmlformats-officedocument.spreadsheetml.comments+xml"/>
  <Override PartName="/xl/charts/chart35.xml" ContentType="application/vnd.openxmlformats-officedocument.drawingml.chart+xml"/>
  <Override PartName="/xl/charts/style35.xml" ContentType="application/vnd.ms-office.chartstyle+xml"/>
  <Override PartName="/xl/charts/colors35.xml" ContentType="application/vnd.ms-office.chartcolorstyle+xml"/>
  <Override PartName="/xl/charts/chart36.xml" ContentType="application/vnd.openxmlformats-officedocument.drawingml.chart+xml"/>
  <Override PartName="/xl/charts/style36.xml" ContentType="application/vnd.ms-office.chartstyle+xml"/>
  <Override PartName="/xl/charts/colors36.xml" ContentType="application/vnd.ms-office.chartcolorstyle+xml"/>
  <Override PartName="/xl/charts/chart37.xml" ContentType="application/vnd.openxmlformats-officedocument.drawingml.chart+xml"/>
  <Override PartName="/xl/charts/style37.xml" ContentType="application/vnd.ms-office.chartstyle+xml"/>
  <Override PartName="/xl/charts/colors37.xml" ContentType="application/vnd.ms-office.chartcolorstyle+xml"/>
  <Override PartName="/xl/charts/chart38.xml" ContentType="application/vnd.openxmlformats-officedocument.drawingml.chart+xml"/>
  <Override PartName="/xl/charts/style38.xml" ContentType="application/vnd.ms-office.chartstyle+xml"/>
  <Override PartName="/xl/charts/colors38.xml" ContentType="application/vnd.ms-office.chartcolorstyle+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comments13.xml" ContentType="application/vnd.openxmlformats-officedocument.spreadsheetml.comments+xml"/>
  <Override PartName="/xl/charts/chart39.xml" ContentType="application/vnd.openxmlformats-officedocument.drawingml.chart+xml"/>
  <Override PartName="/xl/charts/style39.xml" ContentType="application/vnd.ms-office.chartstyle+xml"/>
  <Override PartName="/xl/charts/colors39.xml" ContentType="application/vnd.ms-office.chartcolorstyle+xml"/>
  <Override PartName="/xl/charts/chart40.xml" ContentType="application/vnd.openxmlformats-officedocument.drawingml.chart+xml"/>
  <Override PartName="/xl/charts/style40.xml" ContentType="application/vnd.ms-office.chartstyle+xml"/>
  <Override PartName="/xl/charts/colors40.xml" ContentType="application/vnd.ms-office.chartcolorstyle+xml"/>
  <Override PartName="/xl/drawings/drawing17.xml" ContentType="application/vnd.openxmlformats-officedocument.drawing+xml"/>
  <Override PartName="/xl/comments14.xml" ContentType="application/vnd.openxmlformats-officedocument.spreadsheetml.comments+xml"/>
  <Override PartName="/xl/drawings/drawing18.xml" ContentType="application/vnd.openxmlformats-officedocument.drawing+xml"/>
  <Override PartName="/xl/comments15.xml" ContentType="application/vnd.openxmlformats-officedocument.spreadsheetml.comments+xml"/>
  <Override PartName="/xl/drawings/drawing19.xml" ContentType="application/vnd.openxmlformats-officedocument.drawing+xml"/>
  <Override PartName="/xl/comments16.xml" ContentType="application/vnd.openxmlformats-officedocument.spreadsheetml.comments+xml"/>
  <Override PartName="/xl/drawings/drawing20.xml" ContentType="application/vnd.openxmlformats-officedocument.drawing+xml"/>
  <Override PartName="/xl/comments17.xml" ContentType="application/vnd.openxmlformats-officedocument.spreadsheetml.comments+xml"/>
  <Override PartName="/xl/drawings/drawing21.xml" ContentType="application/vnd.openxmlformats-officedocument.drawing+xml"/>
  <Override PartName="/xl/comments18.xml" ContentType="application/vnd.openxmlformats-officedocument.spreadsheetml.comments+xml"/>
  <Override PartName="/xl/drawings/drawing22.xml" ContentType="application/vnd.openxmlformats-officedocument.drawing+xml"/>
  <Override PartName="/xl/comments19.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3"/>
  <workbookPr/>
  <mc:AlternateContent xmlns:mc="http://schemas.openxmlformats.org/markup-compatibility/2006">
    <mc:Choice Requires="x15">
      <x15ac:absPath xmlns:x15ac="http://schemas.microsoft.com/office/spreadsheetml/2010/11/ac" url="C:\Users\atuomivaara\Documents\LE toteutusasiat\"/>
    </mc:Choice>
  </mc:AlternateContent>
  <xr:revisionPtr revIDLastSave="0" documentId="13_ncr:1_{B013C525-CC26-4BA4-B451-573AA8946B27}" xr6:coauthVersionLast="36" xr6:coauthVersionMax="47" xr10:uidLastSave="{00000000-0000-0000-0000-000000000000}"/>
  <bookViews>
    <workbookView xWindow="0" yWindow="0" windowWidth="19200" windowHeight="6350" tabRatio="837" xr2:uid="{00000000-000D-0000-FFFF-FFFF00000000}"/>
  </bookViews>
  <sheets>
    <sheet name="Etusivu" sheetId="9" r:id="rId1"/>
    <sheet name="Ohje" sheetId="10" r:id="rId2"/>
    <sheet name="Lähtötiedot" sheetId="25" r:id="rId3"/>
    <sheet name="Energiantarve" sheetId="1" r:id="rId4"/>
    <sheet name="Rehuntuotanto" sheetId="17" r:id="rId5"/>
    <sheet name="Rehun käyttö, nettosato" sheetId="3" r:id="rId6"/>
    <sheet name="Hävikki" sheetId="8" r:id="rId7"/>
    <sheet name="Säilörehun tuotantokustannus" sheetId="11" r:id="rId8"/>
    <sheet name="Maidontuotantokustannus" sheetId="24" r:id="rId9"/>
    <sheet name="Emolehmän tuotantokustannus 1" sheetId="18" r:id="rId10"/>
    <sheet name="Emolehmän tuotantokustannus 2" sheetId="20" r:id="rId11"/>
    <sheet name="Lihasonnin tuotantokustannus" sheetId="22" r:id="rId12"/>
    <sheet name="Lihahiehon tuotantokustannus" sheetId="23" r:id="rId13"/>
    <sheet name="Yhteenveto" sheetId="28" r:id="rId14"/>
    <sheet name="Rehujen tuotantokustannukset" sheetId="29" r:id="rId15"/>
    <sheet name="Tuotantokustannusvertailu" sheetId="12" r:id="rId16"/>
    <sheet name="Energiantarve Lehmä+uudistus" sheetId="4" r:id="rId17"/>
    <sheet name="Energiantarve Emolehmä" sheetId="14" r:id="rId18"/>
    <sheet name="Energiantarve Emol. uudistus" sheetId="27" r:id="rId19"/>
    <sheet name="Energiantarve Lihasonni" sheetId="15" r:id="rId20"/>
    <sheet name="Energiantarve Lihahieho" sheetId="16" r:id="rId21"/>
    <sheet name="Energiantarve Siitossonni" sheetId="26" r:id="rId22"/>
    <sheet name="Lisätietoja" sheetId="30" r:id="rId2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32" i="11" l="1"/>
  <c r="L31" i="11"/>
  <c r="L37" i="23"/>
  <c r="L36" i="23"/>
  <c r="L37" i="22"/>
  <c r="L36" i="22"/>
  <c r="L37" i="20"/>
  <c r="L36" i="20"/>
  <c r="L37" i="18"/>
  <c r="L36" i="18"/>
  <c r="U22" i="16"/>
  <c r="U21" i="16"/>
  <c r="U15" i="16"/>
  <c r="U16" i="16"/>
  <c r="U17" i="16"/>
  <c r="U18" i="16"/>
  <c r="U19" i="16"/>
  <c r="U20" i="16"/>
  <c r="U14" i="16"/>
  <c r="AG9" i="25" l="1"/>
  <c r="AG10" i="25"/>
  <c r="AC10" i="25"/>
  <c r="AC9" i="25"/>
  <c r="AD18" i="25" l="1"/>
  <c r="AD13" i="25"/>
  <c r="AD12" i="25"/>
  <c r="C67" i="25"/>
  <c r="AD19" i="25" l="1"/>
  <c r="K35" i="1" l="1"/>
  <c r="K41" i="1" s="1"/>
  <c r="K23" i="1"/>
  <c r="K47" i="1" s="1"/>
  <c r="K17" i="1"/>
  <c r="I5" i="1"/>
  <c r="X145" i="12"/>
  <c r="I145" i="12"/>
  <c r="X99" i="12"/>
  <c r="I99" i="12"/>
  <c r="AC125" i="12"/>
  <c r="AC124" i="12"/>
  <c r="AC123" i="12"/>
  <c r="AC122" i="12"/>
  <c r="AC121" i="12"/>
  <c r="AC117" i="12"/>
  <c r="AC116" i="12"/>
  <c r="AC113" i="12"/>
  <c r="AC112" i="12"/>
  <c r="AC111" i="12"/>
  <c r="AC110" i="12"/>
  <c r="AC109" i="12"/>
  <c r="AC108" i="12"/>
  <c r="AC107" i="12"/>
  <c r="AC106" i="12"/>
  <c r="AC105" i="12"/>
  <c r="AC104" i="12"/>
  <c r="AC103" i="12"/>
  <c r="AC102" i="12"/>
  <c r="AC101" i="12"/>
  <c r="AC100" i="12"/>
  <c r="N125" i="12"/>
  <c r="N124" i="12"/>
  <c r="N123" i="12"/>
  <c r="N122" i="12"/>
  <c r="N121" i="12"/>
  <c r="N117" i="12"/>
  <c r="N116" i="12"/>
  <c r="N106" i="12"/>
  <c r="N107" i="12"/>
  <c r="N108" i="12"/>
  <c r="N109" i="12"/>
  <c r="N110" i="12"/>
  <c r="N111" i="12"/>
  <c r="N112" i="12"/>
  <c r="N113" i="12"/>
  <c r="N105" i="12"/>
  <c r="N101" i="12"/>
  <c r="N102" i="12"/>
  <c r="N103" i="12"/>
  <c r="N104" i="12"/>
  <c r="N100" i="12"/>
  <c r="AC171" i="12"/>
  <c r="AC170" i="12"/>
  <c r="AC169" i="12"/>
  <c r="AC168" i="12"/>
  <c r="AC167" i="12"/>
  <c r="AC163" i="12"/>
  <c r="AC162" i="12"/>
  <c r="AC161" i="12" s="1"/>
  <c r="AC159" i="12"/>
  <c r="AC158" i="12"/>
  <c r="AC157" i="12"/>
  <c r="AC156" i="12"/>
  <c r="AC155" i="12"/>
  <c r="AC154" i="12"/>
  <c r="AC153" i="12"/>
  <c r="AC152" i="12"/>
  <c r="AC151" i="12"/>
  <c r="AC150" i="12"/>
  <c r="AC149" i="12"/>
  <c r="AC148" i="12"/>
  <c r="AC147" i="12"/>
  <c r="AC146" i="12"/>
  <c r="N171" i="12"/>
  <c r="N170" i="12"/>
  <c r="N169" i="12"/>
  <c r="N168" i="12"/>
  <c r="N167" i="12"/>
  <c r="N163" i="12"/>
  <c r="N162" i="12"/>
  <c r="N152" i="12"/>
  <c r="N153" i="12"/>
  <c r="N154" i="12"/>
  <c r="N155" i="12"/>
  <c r="N156" i="12"/>
  <c r="N157" i="12"/>
  <c r="N158" i="12"/>
  <c r="N159" i="12"/>
  <c r="N151" i="12"/>
  <c r="N147" i="12"/>
  <c r="N148" i="12"/>
  <c r="N149" i="12"/>
  <c r="N150" i="12"/>
  <c r="N146" i="12"/>
  <c r="K1" i="29"/>
  <c r="D40" i="29"/>
  <c r="D32" i="29"/>
  <c r="D24" i="29"/>
  <c r="D16" i="29"/>
  <c r="D39" i="29"/>
  <c r="D31" i="29"/>
  <c r="D23" i="29"/>
  <c r="D15" i="29"/>
  <c r="D8" i="29"/>
  <c r="AC99" i="12" l="1"/>
  <c r="AC145" i="12"/>
  <c r="AC166" i="12"/>
  <c r="AC115" i="12"/>
  <c r="AC120" i="12"/>
  <c r="K29" i="1"/>
  <c r="G9" i="25"/>
  <c r="L1" i="28" l="1"/>
  <c r="M45" i="25" l="1"/>
  <c r="M44" i="25"/>
  <c r="M22" i="25"/>
  <c r="M21" i="25"/>
  <c r="AK42" i="23"/>
  <c r="AK40" i="23"/>
  <c r="AK39" i="23"/>
  <c r="AK38" i="23"/>
  <c r="AK37" i="23"/>
  <c r="AK36" i="23"/>
  <c r="AK35" i="23"/>
  <c r="AK32" i="23"/>
  <c r="AK31" i="23"/>
  <c r="AK30" i="23"/>
  <c r="AK14" i="23"/>
  <c r="AK13" i="23"/>
  <c r="AH13" i="23"/>
  <c r="AH17" i="23" s="1"/>
  <c r="AG13" i="23"/>
  <c r="AG17" i="23" s="1"/>
  <c r="AK42" i="22"/>
  <c r="AK40" i="22"/>
  <c r="AK39" i="22"/>
  <c r="AK38" i="22"/>
  <c r="AK37" i="22"/>
  <c r="AK36" i="22"/>
  <c r="AK35" i="22"/>
  <c r="AK32" i="22"/>
  <c r="AK31" i="22"/>
  <c r="AK30" i="22"/>
  <c r="AK14" i="22"/>
  <c r="AK13" i="22"/>
  <c r="AH13" i="22"/>
  <c r="AH17" i="22" s="1"/>
  <c r="AG13" i="22"/>
  <c r="AG17" i="22" s="1"/>
  <c r="AK42" i="20"/>
  <c r="AK40" i="20"/>
  <c r="AK39" i="20"/>
  <c r="AK38" i="20"/>
  <c r="AK37" i="20"/>
  <c r="AK36" i="20"/>
  <c r="AK35" i="20"/>
  <c r="AK32" i="20"/>
  <c r="AK31" i="20"/>
  <c r="AK30" i="20"/>
  <c r="AK14" i="20"/>
  <c r="AK13" i="20"/>
  <c r="AH13" i="20"/>
  <c r="AH19" i="20" s="1"/>
  <c r="AG13" i="20"/>
  <c r="AG17" i="20" s="1"/>
  <c r="AK42" i="18"/>
  <c r="AK40" i="18"/>
  <c r="AK39" i="18"/>
  <c r="AK38" i="18"/>
  <c r="AK37" i="18"/>
  <c r="AK36" i="18"/>
  <c r="AK35" i="18"/>
  <c r="AK32" i="18"/>
  <c r="AK31" i="18"/>
  <c r="AK30" i="18"/>
  <c r="AK14" i="18"/>
  <c r="AK13" i="18"/>
  <c r="AH13" i="18"/>
  <c r="AH17" i="18" s="1"/>
  <c r="AG13" i="18"/>
  <c r="AG17" i="18" s="1"/>
  <c r="AH13" i="24"/>
  <c r="AH18" i="24" s="1"/>
  <c r="AG13" i="24"/>
  <c r="AG19" i="24" s="1"/>
  <c r="AH19" i="24" l="1"/>
  <c r="AD17" i="25"/>
  <c r="AD16" i="25"/>
  <c r="AH17" i="24"/>
  <c r="H63" i="25"/>
  <c r="G63" i="25"/>
  <c r="AH17" i="20"/>
  <c r="AH18" i="20"/>
  <c r="AH18" i="22"/>
  <c r="AG18" i="24"/>
  <c r="AG17" i="24"/>
  <c r="AH19" i="23"/>
  <c r="AG19" i="23"/>
  <c r="AG18" i="23"/>
  <c r="AH18" i="23"/>
  <c r="AH19" i="22"/>
  <c r="AG19" i="22"/>
  <c r="AG18" i="22"/>
  <c r="AG19" i="20"/>
  <c r="AG18" i="20"/>
  <c r="AG19" i="18"/>
  <c r="AG18" i="18"/>
  <c r="AH18" i="18"/>
  <c r="AH19" i="18"/>
  <c r="H208" i="12"/>
  <c r="AD23" i="25" l="1"/>
  <c r="N166" i="12"/>
  <c r="N161" i="12" l="1"/>
  <c r="AA113" i="12" l="1"/>
  <c r="AA112" i="12"/>
  <c r="AA111" i="12"/>
  <c r="AA110" i="12"/>
  <c r="AA109" i="12"/>
  <c r="AA108" i="12"/>
  <c r="AA107" i="12"/>
  <c r="AA106" i="12"/>
  <c r="AA105" i="12"/>
  <c r="AA104" i="12"/>
  <c r="AA103" i="12"/>
  <c r="AA102" i="12"/>
  <c r="AA101" i="12"/>
  <c r="AA100" i="12"/>
  <c r="L27" i="11"/>
  <c r="F7" i="3"/>
  <c r="B5" i="27" l="1"/>
  <c r="T1" i="8"/>
  <c r="E16" i="27" l="1"/>
  <c r="E18" i="27" s="1"/>
  <c r="C5" i="27"/>
  <c r="G26" i="1" s="1"/>
  <c r="S7" i="27"/>
  <c r="S6" i="27"/>
  <c r="S5" i="27"/>
  <c r="F5" i="27"/>
  <c r="X32" i="27"/>
  <c r="R7" i="27" s="1"/>
  <c r="X25" i="27"/>
  <c r="R6" i="27" s="1"/>
  <c r="X18" i="27"/>
  <c r="R5" i="27" s="1"/>
  <c r="K5" i="27" s="1"/>
  <c r="E3" i="27"/>
  <c r="D5" i="14"/>
  <c r="C5" i="14"/>
  <c r="F5" i="14" s="1"/>
  <c r="V28" i="26"/>
  <c r="U28" i="26"/>
  <c r="T28" i="26"/>
  <c r="S28" i="26"/>
  <c r="R28" i="26"/>
  <c r="Q28" i="26"/>
  <c r="P28" i="26"/>
  <c r="O28" i="26"/>
  <c r="N28" i="26"/>
  <c r="V27" i="26"/>
  <c r="U27" i="26"/>
  <c r="T27" i="26"/>
  <c r="S27" i="26"/>
  <c r="R27" i="26"/>
  <c r="Q27" i="26"/>
  <c r="P27" i="26"/>
  <c r="O27" i="26"/>
  <c r="N27" i="26"/>
  <c r="V23" i="26"/>
  <c r="U23" i="26"/>
  <c r="T23" i="26"/>
  <c r="S23" i="26"/>
  <c r="R23" i="26"/>
  <c r="Q23" i="26"/>
  <c r="P23" i="26"/>
  <c r="O23" i="26"/>
  <c r="N23" i="26"/>
  <c r="V22" i="26"/>
  <c r="U22" i="26"/>
  <c r="T22" i="26"/>
  <c r="S22" i="26"/>
  <c r="R22" i="26"/>
  <c r="Q22" i="26"/>
  <c r="P22" i="26"/>
  <c r="O22" i="26"/>
  <c r="N22" i="26"/>
  <c r="E16" i="26"/>
  <c r="E18" i="26" s="1"/>
  <c r="C5" i="26"/>
  <c r="E5" i="26" s="1"/>
  <c r="X18" i="26"/>
  <c r="W18" i="26"/>
  <c r="V18" i="26"/>
  <c r="U18" i="26"/>
  <c r="T18" i="26"/>
  <c r="S18" i="26"/>
  <c r="R18" i="26"/>
  <c r="Q18" i="26"/>
  <c r="P18" i="26"/>
  <c r="O18" i="26"/>
  <c r="N18" i="26"/>
  <c r="X17" i="26"/>
  <c r="W17" i="26"/>
  <c r="V17" i="26"/>
  <c r="U17" i="26"/>
  <c r="T17" i="26"/>
  <c r="S17" i="26"/>
  <c r="R17" i="26"/>
  <c r="Q17" i="26"/>
  <c r="P17" i="26"/>
  <c r="O17" i="26"/>
  <c r="N17" i="26"/>
  <c r="F5" i="26" l="1"/>
  <c r="K5" i="26" s="1"/>
  <c r="E7" i="27"/>
  <c r="E9" i="27" s="1"/>
  <c r="H5" i="16"/>
  <c r="W14" i="16"/>
  <c r="X14" i="16"/>
  <c r="Y14" i="16"/>
  <c r="Z14" i="16"/>
  <c r="AA14" i="16"/>
  <c r="AB14" i="16"/>
  <c r="AC14" i="16"/>
  <c r="AD14" i="16"/>
  <c r="AE14" i="16"/>
  <c r="AF14" i="16"/>
  <c r="W15" i="16"/>
  <c r="X15" i="16"/>
  <c r="Y15" i="16"/>
  <c r="Z15" i="16"/>
  <c r="AA15" i="16"/>
  <c r="AB15" i="16"/>
  <c r="AC15" i="16"/>
  <c r="AD15" i="16"/>
  <c r="AE15" i="16"/>
  <c r="AF15" i="16"/>
  <c r="W16" i="16"/>
  <c r="X16" i="16"/>
  <c r="Y16" i="16"/>
  <c r="Z16" i="16"/>
  <c r="AA16" i="16"/>
  <c r="AB16" i="16"/>
  <c r="AC16" i="16"/>
  <c r="AD16" i="16"/>
  <c r="AE16" i="16"/>
  <c r="AF16" i="16"/>
  <c r="W17" i="16"/>
  <c r="X17" i="16"/>
  <c r="Y17" i="16"/>
  <c r="Z17" i="16"/>
  <c r="AA17" i="16"/>
  <c r="AB17" i="16"/>
  <c r="AC17" i="16"/>
  <c r="AD17" i="16"/>
  <c r="AE17" i="16"/>
  <c r="AF17" i="16"/>
  <c r="W18" i="16"/>
  <c r="X18" i="16"/>
  <c r="Y18" i="16"/>
  <c r="Z18" i="16"/>
  <c r="AA18" i="16"/>
  <c r="AB18" i="16"/>
  <c r="AC18" i="16"/>
  <c r="AD18" i="16"/>
  <c r="AE18" i="16"/>
  <c r="AF18" i="16"/>
  <c r="W19" i="16"/>
  <c r="X19" i="16"/>
  <c r="Y19" i="16"/>
  <c r="Z19" i="16"/>
  <c r="AA19" i="16"/>
  <c r="AB19" i="16"/>
  <c r="AC19" i="16"/>
  <c r="AD19" i="16"/>
  <c r="AE19" i="16"/>
  <c r="AF19" i="16"/>
  <c r="W20" i="16"/>
  <c r="X20" i="16"/>
  <c r="Y20" i="16"/>
  <c r="Z20" i="16"/>
  <c r="AA20" i="16"/>
  <c r="AB20" i="16"/>
  <c r="AC20" i="16"/>
  <c r="AD20" i="16"/>
  <c r="AE20" i="16"/>
  <c r="AF20" i="16"/>
  <c r="W21" i="16"/>
  <c r="X21" i="16"/>
  <c r="Y21" i="16"/>
  <c r="Z21" i="16"/>
  <c r="AA21" i="16"/>
  <c r="AB21" i="16"/>
  <c r="AC21" i="16"/>
  <c r="AD21" i="16"/>
  <c r="AE21" i="16"/>
  <c r="AF21" i="16"/>
  <c r="W22" i="16"/>
  <c r="X22" i="16"/>
  <c r="Y22" i="16"/>
  <c r="Z22" i="16"/>
  <c r="AA22" i="16"/>
  <c r="AB22" i="16"/>
  <c r="AC22" i="16"/>
  <c r="AD22" i="16"/>
  <c r="AE22" i="16"/>
  <c r="AF22" i="16"/>
  <c r="V16" i="16"/>
  <c r="V17" i="16"/>
  <c r="V18" i="16"/>
  <c r="V19" i="16"/>
  <c r="V20" i="16"/>
  <c r="V21" i="16"/>
  <c r="V22" i="16"/>
  <c r="V15" i="16"/>
  <c r="V14" i="16"/>
  <c r="H5" i="15"/>
  <c r="B5" i="15"/>
  <c r="T13" i="15" s="1"/>
  <c r="U16" i="15"/>
  <c r="V16" i="15"/>
  <c r="W16" i="15"/>
  <c r="X16" i="15"/>
  <c r="Y16" i="15"/>
  <c r="Z16" i="15"/>
  <c r="AA16" i="15"/>
  <c r="AB16" i="15"/>
  <c r="AC16" i="15"/>
  <c r="AD16" i="15"/>
  <c r="AE16" i="15"/>
  <c r="AF16" i="15"/>
  <c r="AG16" i="15"/>
  <c r="AH16" i="15"/>
  <c r="AI16" i="15"/>
  <c r="U17" i="15"/>
  <c r="V17" i="15"/>
  <c r="W17" i="15"/>
  <c r="X17" i="15"/>
  <c r="Y17" i="15"/>
  <c r="Z17" i="15"/>
  <c r="AA17" i="15"/>
  <c r="AB17" i="15"/>
  <c r="AC17" i="15"/>
  <c r="AD17" i="15"/>
  <c r="AE17" i="15"/>
  <c r="AF17" i="15"/>
  <c r="AG17" i="15"/>
  <c r="AH17" i="15"/>
  <c r="AI17" i="15"/>
  <c r="U18" i="15"/>
  <c r="V18" i="15"/>
  <c r="W18" i="15"/>
  <c r="X18" i="15"/>
  <c r="Y18" i="15"/>
  <c r="Z18" i="15"/>
  <c r="AA18" i="15"/>
  <c r="AB18" i="15"/>
  <c r="AC18" i="15"/>
  <c r="AD18" i="15"/>
  <c r="AE18" i="15"/>
  <c r="AF18" i="15"/>
  <c r="AG18" i="15"/>
  <c r="AH18" i="15"/>
  <c r="AI18" i="15"/>
  <c r="U19" i="15"/>
  <c r="V19" i="15"/>
  <c r="W19" i="15"/>
  <c r="X19" i="15"/>
  <c r="Y19" i="15"/>
  <c r="Z19" i="15"/>
  <c r="AA19" i="15"/>
  <c r="AB19" i="15"/>
  <c r="AC19" i="15"/>
  <c r="AD19" i="15"/>
  <c r="AE19" i="15"/>
  <c r="AF19" i="15"/>
  <c r="AG19" i="15"/>
  <c r="AH19" i="15"/>
  <c r="AI19" i="15"/>
  <c r="U20" i="15"/>
  <c r="V20" i="15"/>
  <c r="W20" i="15"/>
  <c r="X20" i="15"/>
  <c r="Y20" i="15"/>
  <c r="Z20" i="15"/>
  <c r="AA20" i="15"/>
  <c r="AB20" i="15"/>
  <c r="AC20" i="15"/>
  <c r="AD20" i="15"/>
  <c r="AE20" i="15"/>
  <c r="AF20" i="15"/>
  <c r="AG20" i="15"/>
  <c r="AH20" i="15"/>
  <c r="AI20" i="15"/>
  <c r="U21" i="15"/>
  <c r="V21" i="15"/>
  <c r="W21" i="15"/>
  <c r="X21" i="15"/>
  <c r="Y21" i="15"/>
  <c r="Z21" i="15"/>
  <c r="AA21" i="15"/>
  <c r="AB21" i="15"/>
  <c r="AC21" i="15"/>
  <c r="AD21" i="15"/>
  <c r="AE21" i="15"/>
  <c r="AF21" i="15"/>
  <c r="AG21" i="15"/>
  <c r="AH21" i="15"/>
  <c r="AI21" i="15"/>
  <c r="U22" i="15"/>
  <c r="V22" i="15"/>
  <c r="W22" i="15"/>
  <c r="X22" i="15"/>
  <c r="Y22" i="15"/>
  <c r="Z22" i="15"/>
  <c r="AA22" i="15"/>
  <c r="AB22" i="15"/>
  <c r="AC22" i="15"/>
  <c r="AD22" i="15"/>
  <c r="AE22" i="15"/>
  <c r="AF22" i="15"/>
  <c r="AG22" i="15"/>
  <c r="AH22" i="15"/>
  <c r="AI22" i="15"/>
  <c r="U23" i="15"/>
  <c r="V23" i="15"/>
  <c r="W23" i="15"/>
  <c r="X23" i="15"/>
  <c r="Y23" i="15"/>
  <c r="Z23" i="15"/>
  <c r="AA23" i="15"/>
  <c r="AB23" i="15"/>
  <c r="AC23" i="15"/>
  <c r="AD23" i="15"/>
  <c r="AE23" i="15"/>
  <c r="AF23" i="15"/>
  <c r="AG23" i="15"/>
  <c r="AH23" i="15"/>
  <c r="AI23" i="15"/>
  <c r="U24" i="15"/>
  <c r="V24" i="15"/>
  <c r="W24" i="15"/>
  <c r="X24" i="15"/>
  <c r="Y24" i="15"/>
  <c r="Z24" i="15"/>
  <c r="AA24" i="15"/>
  <c r="AB24" i="15"/>
  <c r="AC24" i="15"/>
  <c r="AD24" i="15"/>
  <c r="AE24" i="15"/>
  <c r="AF24" i="15"/>
  <c r="AG24" i="15"/>
  <c r="AH24" i="15"/>
  <c r="AI24" i="15"/>
  <c r="U25" i="15"/>
  <c r="V25" i="15"/>
  <c r="W25" i="15"/>
  <c r="X25" i="15"/>
  <c r="Y25" i="15"/>
  <c r="Z25" i="15"/>
  <c r="AA25" i="15"/>
  <c r="AB25" i="15"/>
  <c r="AC25" i="15"/>
  <c r="AD25" i="15"/>
  <c r="AE25" i="15"/>
  <c r="AF25" i="15"/>
  <c r="AG25" i="15"/>
  <c r="AH25" i="15"/>
  <c r="AI25" i="15"/>
  <c r="U26" i="15"/>
  <c r="V26" i="15"/>
  <c r="W26" i="15"/>
  <c r="X26" i="15"/>
  <c r="Y26" i="15"/>
  <c r="Z26" i="15"/>
  <c r="AA26" i="15"/>
  <c r="AB26" i="15"/>
  <c r="AC26" i="15"/>
  <c r="AD26" i="15"/>
  <c r="AE26" i="15"/>
  <c r="AF26" i="15"/>
  <c r="AG26" i="15"/>
  <c r="AH26" i="15" s="1"/>
  <c r="AI26" i="15" s="1"/>
  <c r="U27" i="15"/>
  <c r="V27" i="15"/>
  <c r="W27" i="15"/>
  <c r="X27" i="15"/>
  <c r="Y27" i="15"/>
  <c r="Z27" i="15"/>
  <c r="AA27" i="15"/>
  <c r="AB27" i="15"/>
  <c r="AC27" i="15"/>
  <c r="AD27" i="15"/>
  <c r="AE27" i="15"/>
  <c r="AF27" i="15"/>
  <c r="AG27" i="15" s="1"/>
  <c r="AH27" i="15" s="1"/>
  <c r="AI27" i="15" s="1"/>
  <c r="U28" i="15"/>
  <c r="V28" i="15"/>
  <c r="W28" i="15"/>
  <c r="X28" i="15"/>
  <c r="Y28" i="15"/>
  <c r="Z28" i="15"/>
  <c r="AA28" i="15"/>
  <c r="AB28" i="15"/>
  <c r="AC28" i="15"/>
  <c r="AD28" i="15"/>
  <c r="AE28" i="15"/>
  <c r="AF28" i="15" s="1"/>
  <c r="AG28" i="15" s="1"/>
  <c r="AH28" i="15" s="1"/>
  <c r="AI28" i="15" s="1"/>
  <c r="AI15" i="15"/>
  <c r="AH15" i="15"/>
  <c r="AG15" i="15"/>
  <c r="AF15" i="15"/>
  <c r="AF14" i="15"/>
  <c r="AG14" i="15"/>
  <c r="AH14" i="15"/>
  <c r="AE15" i="15"/>
  <c r="AD15" i="15"/>
  <c r="AC15" i="15"/>
  <c r="AB15" i="15"/>
  <c r="AA15" i="15"/>
  <c r="Z15" i="15"/>
  <c r="Y15" i="15"/>
  <c r="X15" i="15"/>
  <c r="W15" i="15"/>
  <c r="V15" i="15"/>
  <c r="U15" i="15"/>
  <c r="AI14" i="15"/>
  <c r="V14" i="15"/>
  <c r="W14" i="15"/>
  <c r="X14" i="15"/>
  <c r="Y14" i="15"/>
  <c r="Z14" i="15"/>
  <c r="AA14" i="15"/>
  <c r="AB14" i="15"/>
  <c r="AC14" i="15"/>
  <c r="AD14" i="15"/>
  <c r="AE14" i="15"/>
  <c r="U14" i="15"/>
  <c r="E7" i="26" l="1"/>
  <c r="E9" i="26" s="1"/>
  <c r="L8" i="23"/>
  <c r="L6" i="23"/>
  <c r="L5" i="23"/>
  <c r="L8" i="22"/>
  <c r="L6" i="22"/>
  <c r="L5" i="22"/>
  <c r="L36" i="11"/>
  <c r="L33" i="11"/>
  <c r="L26" i="11"/>
  <c r="M26" i="11" s="1"/>
  <c r="H43" i="25"/>
  <c r="H44" i="25"/>
  <c r="H45" i="25"/>
  <c r="H46" i="25"/>
  <c r="H47" i="25"/>
  <c r="H42" i="25"/>
  <c r="H20" i="25"/>
  <c r="H21" i="25"/>
  <c r="H22" i="25"/>
  <c r="H19" i="25"/>
  <c r="H10" i="25"/>
  <c r="H11" i="25"/>
  <c r="H8" i="25"/>
  <c r="L14" i="11"/>
  <c r="L15" i="11"/>
  <c r="L16" i="11"/>
  <c r="L17" i="11"/>
  <c r="L18" i="11"/>
  <c r="L19" i="11"/>
  <c r="L20" i="11"/>
  <c r="L21" i="11"/>
  <c r="L13" i="11"/>
  <c r="L37" i="25"/>
  <c r="L36" i="25"/>
  <c r="L35" i="25"/>
  <c r="L34" i="25"/>
  <c r="L33" i="25"/>
  <c r="L7" i="11" s="1"/>
  <c r="L38" i="23"/>
  <c r="M37" i="23"/>
  <c r="M36" i="23"/>
  <c r="L38" i="22"/>
  <c r="M37" i="22"/>
  <c r="M36" i="22"/>
  <c r="L38" i="20"/>
  <c r="M37" i="20"/>
  <c r="M36" i="20"/>
  <c r="L38" i="18"/>
  <c r="M37" i="18"/>
  <c r="M36" i="18"/>
  <c r="L38" i="24"/>
  <c r="L37" i="24"/>
  <c r="M37" i="24" s="1"/>
  <c r="L36" i="24"/>
  <c r="M36" i="24" s="1"/>
  <c r="L32" i="23"/>
  <c r="L31" i="23" s="1"/>
  <c r="L32" i="22"/>
  <c r="L31" i="22" s="1"/>
  <c r="L32" i="20"/>
  <c r="L31" i="20" s="1"/>
  <c r="L32" i="18"/>
  <c r="L31" i="18" s="1"/>
  <c r="L32" i="24"/>
  <c r="L31" i="24" s="1"/>
  <c r="M26" i="23"/>
  <c r="M25" i="23"/>
  <c r="M24" i="23"/>
  <c r="M23" i="23"/>
  <c r="M22" i="23"/>
  <c r="M21" i="23"/>
  <c r="M20" i="23"/>
  <c r="M26" i="22"/>
  <c r="M25" i="22"/>
  <c r="M24" i="22"/>
  <c r="M23" i="22"/>
  <c r="M22" i="22"/>
  <c r="M21" i="22"/>
  <c r="M20" i="22"/>
  <c r="M26" i="20"/>
  <c r="M25" i="20"/>
  <c r="M24" i="20"/>
  <c r="M23" i="20"/>
  <c r="M22" i="20"/>
  <c r="M21" i="20"/>
  <c r="M20" i="20"/>
  <c r="M26" i="18"/>
  <c r="M25" i="18"/>
  <c r="M24" i="18"/>
  <c r="M23" i="18"/>
  <c r="M22" i="18"/>
  <c r="M21" i="18"/>
  <c r="M20" i="18"/>
  <c r="M21" i="24"/>
  <c r="M22" i="24"/>
  <c r="M23" i="24"/>
  <c r="M24" i="24"/>
  <c r="M25" i="24"/>
  <c r="M26" i="24"/>
  <c r="M20" i="24"/>
  <c r="L7" i="24"/>
  <c r="E35" i="1"/>
  <c r="E41" i="1" s="1"/>
  <c r="E23" i="1"/>
  <c r="E47" i="1" s="1"/>
  <c r="E11" i="1"/>
  <c r="J38" i="1"/>
  <c r="J32" i="1"/>
  <c r="D5" i="15" s="1"/>
  <c r="L20" i="1"/>
  <c r="M5" i="1"/>
  <c r="L6" i="24"/>
  <c r="Q12" i="25"/>
  <c r="Q10" i="25"/>
  <c r="Q11" i="25"/>
  <c r="Q9" i="25"/>
  <c r="Q8" i="25"/>
  <c r="L6" i="20"/>
  <c r="L5" i="20"/>
  <c r="L5" i="18"/>
  <c r="L6" i="18"/>
  <c r="L5" i="24"/>
  <c r="M9" i="25"/>
  <c r="M12" i="25"/>
  <c r="M10" i="25"/>
  <c r="M11" i="25"/>
  <c r="F28" i="3"/>
  <c r="F26" i="3"/>
  <c r="E22" i="3"/>
  <c r="E18" i="3"/>
  <c r="E19" i="3"/>
  <c r="E20" i="3"/>
  <c r="E21" i="3"/>
  <c r="E17" i="3"/>
  <c r="E11" i="3"/>
  <c r="F10" i="3"/>
  <c r="E10" i="3"/>
  <c r="F9" i="3"/>
  <c r="E9" i="3"/>
  <c r="E7" i="3"/>
  <c r="F5" i="3"/>
  <c r="E5" i="3"/>
  <c r="H23" i="25" l="1"/>
  <c r="H48" i="25"/>
  <c r="E29" i="1"/>
  <c r="L38" i="25"/>
  <c r="L39" i="25" s="1"/>
  <c r="C39" i="25"/>
  <c r="Q47" i="25" s="1"/>
  <c r="P48" i="25" s="1"/>
  <c r="P13" i="25"/>
  <c r="AC8" i="25" s="1"/>
  <c r="L13" i="25"/>
  <c r="AC7" i="25" s="1"/>
  <c r="H1" i="25"/>
  <c r="G56" i="25" l="1"/>
  <c r="AC11" i="25"/>
  <c r="AC25" i="25" s="1"/>
  <c r="AF21" i="25" s="1"/>
  <c r="E56" i="25"/>
  <c r="AD15" i="25"/>
  <c r="F56" i="25"/>
  <c r="AD14" i="25"/>
  <c r="H56" i="25"/>
  <c r="F63" i="25"/>
  <c r="AA159" i="12"/>
  <c r="AA158" i="12"/>
  <c r="AA157" i="12"/>
  <c r="AA156" i="12"/>
  <c r="AA155" i="12"/>
  <c r="AA154" i="12"/>
  <c r="AA153" i="12"/>
  <c r="AA152" i="12"/>
  <c r="AA151" i="12"/>
  <c r="AA150" i="12"/>
  <c r="AA149" i="12"/>
  <c r="AA148" i="12"/>
  <c r="AA147" i="12"/>
  <c r="AA146" i="12"/>
  <c r="L159" i="12"/>
  <c r="L158" i="12"/>
  <c r="L157" i="12"/>
  <c r="L156" i="12"/>
  <c r="L155" i="12"/>
  <c r="L154" i="12"/>
  <c r="L153" i="12"/>
  <c r="L152" i="12"/>
  <c r="L151" i="12"/>
  <c r="L150" i="12"/>
  <c r="L149" i="12"/>
  <c r="L148" i="12"/>
  <c r="L147" i="12"/>
  <c r="L146" i="12"/>
  <c r="U263" i="12"/>
  <c r="U262" i="12"/>
  <c r="U261" i="12"/>
  <c r="U260" i="12"/>
  <c r="U259" i="12"/>
  <c r="U255" i="12"/>
  <c r="U254" i="12"/>
  <c r="U251" i="12"/>
  <c r="U250" i="12"/>
  <c r="U249" i="12"/>
  <c r="V249" i="12" s="1"/>
  <c r="U248" i="12"/>
  <c r="V248" i="12" s="1"/>
  <c r="U247" i="12"/>
  <c r="V247" i="12" s="1"/>
  <c r="U246" i="12"/>
  <c r="V246" i="12" s="1"/>
  <c r="U245" i="12"/>
  <c r="V245" i="12" s="1"/>
  <c r="U244" i="12"/>
  <c r="U243" i="12"/>
  <c r="V243" i="12" s="1"/>
  <c r="U241" i="12"/>
  <c r="V241" i="12" s="1"/>
  <c r="U240" i="12"/>
  <c r="V240" i="12" s="1"/>
  <c r="U239" i="12"/>
  <c r="V239" i="12" s="1"/>
  <c r="U238" i="12"/>
  <c r="V238" i="12" s="1"/>
  <c r="F263" i="12"/>
  <c r="F262" i="12"/>
  <c r="F261" i="12"/>
  <c r="F260" i="12"/>
  <c r="F259" i="12"/>
  <c r="F251" i="12"/>
  <c r="F250" i="12"/>
  <c r="F249" i="12"/>
  <c r="G249" i="12" s="1"/>
  <c r="F248" i="12"/>
  <c r="G248" i="12" s="1"/>
  <c r="F247" i="12"/>
  <c r="G247" i="12" s="1"/>
  <c r="F246" i="12"/>
  <c r="G246" i="12" s="1"/>
  <c r="F245" i="12"/>
  <c r="F244" i="12"/>
  <c r="G244" i="12" s="1"/>
  <c r="F243" i="12"/>
  <c r="G243" i="12" s="1"/>
  <c r="F241" i="12"/>
  <c r="F240" i="12"/>
  <c r="G240" i="12" s="1"/>
  <c r="F239" i="12"/>
  <c r="F238" i="12"/>
  <c r="G238" i="12" s="1"/>
  <c r="U217" i="12"/>
  <c r="U216" i="12"/>
  <c r="U215" i="12"/>
  <c r="U214" i="12"/>
  <c r="U213" i="12"/>
  <c r="U209" i="12"/>
  <c r="U208" i="12"/>
  <c r="U205" i="12"/>
  <c r="U204" i="12"/>
  <c r="U203" i="12"/>
  <c r="V203" i="12" s="1"/>
  <c r="U202" i="12"/>
  <c r="U201" i="12"/>
  <c r="V201" i="12" s="1"/>
  <c r="U200" i="12"/>
  <c r="V200" i="12" s="1"/>
  <c r="U199" i="12"/>
  <c r="V199" i="12" s="1"/>
  <c r="U198" i="12"/>
  <c r="U197" i="12"/>
  <c r="V197" i="12" s="1"/>
  <c r="U195" i="12"/>
  <c r="U194" i="12"/>
  <c r="V194" i="12" s="1"/>
  <c r="U193" i="12"/>
  <c r="U192" i="12"/>
  <c r="V192" i="12" s="1"/>
  <c r="F217" i="12"/>
  <c r="F216" i="12"/>
  <c r="F215" i="12"/>
  <c r="F214" i="12"/>
  <c r="F213" i="12"/>
  <c r="F205" i="12"/>
  <c r="F204" i="12"/>
  <c r="F203" i="12"/>
  <c r="G203" i="12" s="1"/>
  <c r="F202" i="12"/>
  <c r="G202" i="12" s="1"/>
  <c r="F201" i="12"/>
  <c r="G201" i="12" s="1"/>
  <c r="F200" i="12"/>
  <c r="G200" i="12" s="1"/>
  <c r="F199" i="12"/>
  <c r="G199" i="12" s="1"/>
  <c r="F198" i="12"/>
  <c r="G198" i="12" s="1"/>
  <c r="F197" i="12"/>
  <c r="G197" i="12" s="1"/>
  <c r="F195" i="12"/>
  <c r="G195" i="12" s="1"/>
  <c r="F194" i="12"/>
  <c r="G194" i="12" s="1"/>
  <c r="F193" i="12"/>
  <c r="G193" i="12" s="1"/>
  <c r="F192" i="12"/>
  <c r="G192" i="12" s="1"/>
  <c r="G239" i="12"/>
  <c r="T262" i="12"/>
  <c r="S262" i="12"/>
  <c r="X261" i="12"/>
  <c r="T261" i="12"/>
  <c r="T260" i="12"/>
  <c r="T259" i="12"/>
  <c r="V259" i="12" s="1"/>
  <c r="W255" i="12"/>
  <c r="T255" i="12" s="1"/>
  <c r="W254" i="12"/>
  <c r="T254" i="12" s="1"/>
  <c r="AA251" i="12"/>
  <c r="AA250" i="12"/>
  <c r="S250" i="12"/>
  <c r="T250" i="12" s="1"/>
  <c r="V250" i="12" s="1"/>
  <c r="AA249" i="12"/>
  <c r="AA248" i="12"/>
  <c r="AA247" i="12"/>
  <c r="AA246" i="12"/>
  <c r="AA245" i="12"/>
  <c r="AA244" i="12"/>
  <c r="V244" i="12"/>
  <c r="AA243" i="12"/>
  <c r="AA242" i="12"/>
  <c r="AA241" i="12"/>
  <c r="AA240" i="12"/>
  <c r="AA239" i="12"/>
  <c r="AA238" i="12"/>
  <c r="W237" i="12"/>
  <c r="T237" i="12"/>
  <c r="V237" i="12" s="1"/>
  <c r="V231" i="12"/>
  <c r="X231" i="12" s="1"/>
  <c r="V230" i="12"/>
  <c r="X230" i="12" s="1"/>
  <c r="U229" i="12"/>
  <c r="V229" i="12" s="1"/>
  <c r="X229" i="12" s="1"/>
  <c r="U228" i="12"/>
  <c r="V228" i="12" s="1"/>
  <c r="D262" i="12"/>
  <c r="E260" i="12"/>
  <c r="E259" i="12"/>
  <c r="H255" i="12"/>
  <c r="E255" i="12" s="1"/>
  <c r="F255" i="12"/>
  <c r="H254" i="12"/>
  <c r="E254" i="12" s="1"/>
  <c r="F254" i="12"/>
  <c r="L251" i="12"/>
  <c r="L250" i="12"/>
  <c r="D250" i="12"/>
  <c r="E250" i="12" s="1"/>
  <c r="L249" i="12"/>
  <c r="L248" i="12"/>
  <c r="L247" i="12"/>
  <c r="L246" i="12"/>
  <c r="L245" i="12"/>
  <c r="L244" i="12"/>
  <c r="L243" i="12"/>
  <c r="L242" i="12"/>
  <c r="L241" i="12"/>
  <c r="G241" i="12"/>
  <c r="L240" i="12"/>
  <c r="L239" i="12"/>
  <c r="L238" i="12"/>
  <c r="H237" i="12"/>
  <c r="E237" i="12"/>
  <c r="F229" i="12"/>
  <c r="G229" i="12" s="1"/>
  <c r="I229" i="12" s="1"/>
  <c r="F228" i="12"/>
  <c r="G228" i="12" s="1"/>
  <c r="E261" i="12"/>
  <c r="G261" i="12" s="1"/>
  <c r="T216" i="12"/>
  <c r="S216" i="12"/>
  <c r="X215" i="12"/>
  <c r="T215" i="12"/>
  <c r="V215" i="12" s="1"/>
  <c r="T214" i="12"/>
  <c r="T213" i="12"/>
  <c r="W209" i="12"/>
  <c r="T209" i="12" s="1"/>
  <c r="W208" i="12"/>
  <c r="T208" i="12" s="1"/>
  <c r="V208" i="12" s="1"/>
  <c r="AA205" i="12"/>
  <c r="AA204" i="12"/>
  <c r="S204" i="12"/>
  <c r="T204" i="12" s="1"/>
  <c r="AA203" i="12"/>
  <c r="AA202" i="12"/>
  <c r="V202" i="12"/>
  <c r="AA201" i="12"/>
  <c r="AA200" i="12"/>
  <c r="AA199" i="12"/>
  <c r="AA198" i="12"/>
  <c r="V198" i="12"/>
  <c r="AA197" i="12"/>
  <c r="AA196" i="12"/>
  <c r="AA195" i="12"/>
  <c r="V195" i="12"/>
  <c r="AA194" i="12"/>
  <c r="AA193" i="12"/>
  <c r="V193" i="12"/>
  <c r="AA192" i="12"/>
  <c r="W191" i="12"/>
  <c r="V191" i="12"/>
  <c r="V185" i="12"/>
  <c r="X185" i="12" s="1"/>
  <c r="V184" i="12"/>
  <c r="X184" i="12" s="1"/>
  <c r="U183" i="12"/>
  <c r="V183" i="12" s="1"/>
  <c r="U182" i="12"/>
  <c r="V182" i="12" s="1"/>
  <c r="F182" i="12"/>
  <c r="G182" i="12" s="1"/>
  <c r="F183" i="12"/>
  <c r="G183" i="12" s="1"/>
  <c r="G184" i="12"/>
  <c r="I184" i="12" s="1"/>
  <c r="G185" i="12"/>
  <c r="I185" i="12" s="1"/>
  <c r="G191" i="12"/>
  <c r="H191" i="12"/>
  <c r="L192" i="12"/>
  <c r="L193" i="12"/>
  <c r="L194" i="12"/>
  <c r="L195" i="12"/>
  <c r="L196" i="12"/>
  <c r="L197" i="12"/>
  <c r="L198" i="12"/>
  <c r="L199" i="12"/>
  <c r="L200" i="12"/>
  <c r="L201" i="12"/>
  <c r="L202" i="12"/>
  <c r="L203" i="12"/>
  <c r="D204" i="12"/>
  <c r="E204" i="12" s="1"/>
  <c r="L204" i="12"/>
  <c r="L205" i="12"/>
  <c r="F208" i="12"/>
  <c r="E208" i="12"/>
  <c r="F209" i="12"/>
  <c r="H209" i="12"/>
  <c r="E209" i="12" s="1"/>
  <c r="E213" i="12"/>
  <c r="E214" i="12"/>
  <c r="E215" i="12"/>
  <c r="I215" i="12"/>
  <c r="D216" i="12"/>
  <c r="E216" i="12"/>
  <c r="P14" i="22"/>
  <c r="L113" i="12"/>
  <c r="L112" i="12"/>
  <c r="L111" i="12"/>
  <c r="L110" i="12"/>
  <c r="L109" i="12"/>
  <c r="L108" i="12"/>
  <c r="L107" i="12"/>
  <c r="L106" i="12"/>
  <c r="L105" i="12"/>
  <c r="L104" i="12"/>
  <c r="L103" i="12"/>
  <c r="L102" i="12"/>
  <c r="L101" i="12"/>
  <c r="L100" i="12"/>
  <c r="W53" i="12"/>
  <c r="H53" i="12"/>
  <c r="U79" i="12"/>
  <c r="U78" i="12"/>
  <c r="T78" i="12"/>
  <c r="S78" i="12"/>
  <c r="X77" i="12"/>
  <c r="U77" i="12"/>
  <c r="T77" i="12"/>
  <c r="U76" i="12"/>
  <c r="T76" i="12"/>
  <c r="U75" i="12"/>
  <c r="T75" i="12"/>
  <c r="W71" i="12"/>
  <c r="T71" i="12" s="1"/>
  <c r="U71" i="12"/>
  <c r="W70" i="12"/>
  <c r="T70" i="12" s="1"/>
  <c r="U70" i="12"/>
  <c r="AA67" i="12"/>
  <c r="AA66" i="12"/>
  <c r="S66" i="12"/>
  <c r="T66" i="12" s="1"/>
  <c r="V66" i="12" s="1"/>
  <c r="AA65" i="12"/>
  <c r="U65" i="12"/>
  <c r="V65" i="12" s="1"/>
  <c r="AA64" i="12"/>
  <c r="U64" i="12"/>
  <c r="V64" i="12" s="1"/>
  <c r="AA63" i="12"/>
  <c r="U63" i="12"/>
  <c r="V63" i="12" s="1"/>
  <c r="AA62" i="12"/>
  <c r="U62" i="12"/>
  <c r="V62" i="12" s="1"/>
  <c r="AA61" i="12"/>
  <c r="U61" i="12"/>
  <c r="V61" i="12" s="1"/>
  <c r="AA60" i="12"/>
  <c r="U60" i="12"/>
  <c r="V60" i="12" s="1"/>
  <c r="AA59" i="12"/>
  <c r="U59" i="12"/>
  <c r="V59" i="12" s="1"/>
  <c r="AA58" i="12"/>
  <c r="AA57" i="12"/>
  <c r="U57" i="12"/>
  <c r="V57" i="12" s="1"/>
  <c r="AA56" i="12"/>
  <c r="U56" i="12"/>
  <c r="V56" i="12" s="1"/>
  <c r="AA55" i="12"/>
  <c r="U55" i="12"/>
  <c r="V55" i="12" s="1"/>
  <c r="AA54" i="12"/>
  <c r="U54" i="12"/>
  <c r="V54" i="12" s="1"/>
  <c r="V53" i="12"/>
  <c r="V46" i="12"/>
  <c r="X46" i="12" s="1"/>
  <c r="U45" i="12"/>
  <c r="V45" i="12" s="1"/>
  <c r="U44" i="12"/>
  <c r="V44" i="12" s="1"/>
  <c r="F79" i="12"/>
  <c r="F78" i="12"/>
  <c r="D78" i="12"/>
  <c r="F77" i="12"/>
  <c r="F76" i="12"/>
  <c r="E76" i="12"/>
  <c r="F75" i="12"/>
  <c r="E75" i="12"/>
  <c r="H71" i="12"/>
  <c r="E71" i="12" s="1"/>
  <c r="F71" i="12"/>
  <c r="H70" i="12"/>
  <c r="E70" i="12" s="1"/>
  <c r="F70" i="12"/>
  <c r="L67" i="12"/>
  <c r="L66" i="12"/>
  <c r="D66" i="12"/>
  <c r="E66" i="12" s="1"/>
  <c r="G66" i="12" s="1"/>
  <c r="L65" i="12"/>
  <c r="F65" i="12"/>
  <c r="G65" i="12" s="1"/>
  <c r="L64" i="12"/>
  <c r="F64" i="12"/>
  <c r="G64" i="12" s="1"/>
  <c r="L63" i="12"/>
  <c r="F63" i="12"/>
  <c r="G63" i="12" s="1"/>
  <c r="L62" i="12"/>
  <c r="F62" i="12"/>
  <c r="L61" i="12"/>
  <c r="F61" i="12"/>
  <c r="L60" i="12"/>
  <c r="F60" i="12"/>
  <c r="G60" i="12" s="1"/>
  <c r="L59" i="12"/>
  <c r="F59" i="12"/>
  <c r="G59" i="12" s="1"/>
  <c r="L58" i="12"/>
  <c r="L57" i="12"/>
  <c r="F57" i="12"/>
  <c r="G57" i="12" s="1"/>
  <c r="L56" i="12"/>
  <c r="F56" i="12"/>
  <c r="L55" i="12"/>
  <c r="F55" i="12"/>
  <c r="G55" i="12" s="1"/>
  <c r="L54" i="12"/>
  <c r="F54" i="12"/>
  <c r="G54" i="12" s="1"/>
  <c r="D47" i="12"/>
  <c r="G47" i="12" s="1"/>
  <c r="I47" i="12" s="1"/>
  <c r="F45" i="12"/>
  <c r="G45" i="12" s="1"/>
  <c r="E77" i="12"/>
  <c r="G77" i="12" s="1"/>
  <c r="G170" i="12"/>
  <c r="X169" i="12"/>
  <c r="I169" i="12"/>
  <c r="W163" i="12"/>
  <c r="H163" i="12"/>
  <c r="E163" i="12" s="1"/>
  <c r="G163" i="12" s="1"/>
  <c r="I163" i="12" s="1"/>
  <c r="W162" i="12"/>
  <c r="T162" i="12" s="1"/>
  <c r="V162" i="12" s="1"/>
  <c r="H162" i="12"/>
  <c r="E162" i="12" s="1"/>
  <c r="G162" i="12" s="1"/>
  <c r="V158" i="12"/>
  <c r="G158" i="12"/>
  <c r="V157" i="12"/>
  <c r="G157" i="12"/>
  <c r="V156" i="12"/>
  <c r="G156" i="12"/>
  <c r="V155" i="12"/>
  <c r="G155" i="12"/>
  <c r="V154" i="12"/>
  <c r="G154" i="12"/>
  <c r="V153" i="12"/>
  <c r="G153" i="12"/>
  <c r="V152" i="12"/>
  <c r="G152" i="12"/>
  <c r="V151" i="12"/>
  <c r="G151" i="12"/>
  <c r="V149" i="12"/>
  <c r="G149" i="12"/>
  <c r="V148" i="12"/>
  <c r="G148" i="12"/>
  <c r="V147" i="12"/>
  <c r="G147" i="12"/>
  <c r="V146" i="12"/>
  <c r="G146" i="12"/>
  <c r="W145" i="12"/>
  <c r="V145" i="12"/>
  <c r="H145" i="12"/>
  <c r="G145" i="12"/>
  <c r="V139" i="12"/>
  <c r="X139" i="12" s="1"/>
  <c r="G139" i="12"/>
  <c r="I139" i="12" s="1"/>
  <c r="V138" i="12"/>
  <c r="X138" i="12" s="1"/>
  <c r="G138" i="12"/>
  <c r="I138" i="12" s="1"/>
  <c r="V137" i="12"/>
  <c r="X137" i="12" s="1"/>
  <c r="G137" i="12"/>
  <c r="I137" i="12" s="1"/>
  <c r="V136" i="12"/>
  <c r="G136" i="12"/>
  <c r="X123" i="12"/>
  <c r="I123" i="12"/>
  <c r="W117" i="12"/>
  <c r="H117" i="12"/>
  <c r="W116" i="12"/>
  <c r="H116" i="12"/>
  <c r="V112" i="12"/>
  <c r="G112" i="12"/>
  <c r="V111" i="12"/>
  <c r="G111" i="12"/>
  <c r="V110" i="12"/>
  <c r="G110" i="12"/>
  <c r="V109" i="12"/>
  <c r="G109" i="12"/>
  <c r="V108" i="12"/>
  <c r="G108" i="12"/>
  <c r="V107" i="12"/>
  <c r="G107" i="12"/>
  <c r="V106" i="12"/>
  <c r="G106" i="12"/>
  <c r="V105" i="12"/>
  <c r="G105" i="12"/>
  <c r="V103" i="12"/>
  <c r="G103" i="12"/>
  <c r="V102" i="12"/>
  <c r="G102" i="12"/>
  <c r="V101" i="12"/>
  <c r="G101" i="12"/>
  <c r="V100" i="12"/>
  <c r="G100" i="12"/>
  <c r="W99" i="12"/>
  <c r="V99" i="12"/>
  <c r="H99" i="12"/>
  <c r="G99" i="12"/>
  <c r="V93" i="12"/>
  <c r="X93" i="12" s="1"/>
  <c r="G93" i="12"/>
  <c r="I93" i="12" s="1"/>
  <c r="V92" i="12"/>
  <c r="X92" i="12" s="1"/>
  <c r="G92" i="12"/>
  <c r="I92" i="12" s="1"/>
  <c r="V91" i="12"/>
  <c r="G91" i="12"/>
  <c r="V90" i="12"/>
  <c r="G90" i="12"/>
  <c r="U225" i="12"/>
  <c r="U179" i="12"/>
  <c r="U133" i="12"/>
  <c r="U87" i="12"/>
  <c r="U2" i="12"/>
  <c r="U41" i="12"/>
  <c r="V75" i="12" l="1"/>
  <c r="V78" i="12"/>
  <c r="G71" i="12"/>
  <c r="I71" i="12" s="1"/>
  <c r="G75" i="12"/>
  <c r="G208" i="12"/>
  <c r="I208" i="12" s="1"/>
  <c r="X208" i="12"/>
  <c r="I162" i="12"/>
  <c r="F43" i="20"/>
  <c r="G214" i="12"/>
  <c r="G250" i="12"/>
  <c r="V254" i="12"/>
  <c r="V261" i="12"/>
  <c r="AF25" i="25"/>
  <c r="AI25" i="25" s="1"/>
  <c r="AE20" i="25" s="1"/>
  <c r="X162" i="12"/>
  <c r="V214" i="12"/>
  <c r="H59" i="25"/>
  <c r="F59" i="25" s="1"/>
  <c r="G59" i="25"/>
  <c r="E59" i="25" s="1"/>
  <c r="G58" i="25"/>
  <c r="E58" i="25" s="1"/>
  <c r="H58" i="25"/>
  <c r="H64" i="25" s="1"/>
  <c r="F64" i="25" s="1"/>
  <c r="C68" i="25"/>
  <c r="E63" i="25"/>
  <c r="V167" i="12"/>
  <c r="V170" i="12"/>
  <c r="G260" i="12"/>
  <c r="V260" i="12"/>
  <c r="G76" i="12"/>
  <c r="G209" i="12"/>
  <c r="I209" i="12" s="1"/>
  <c r="V216" i="12"/>
  <c r="G70" i="12"/>
  <c r="I70" i="12" s="1"/>
  <c r="G216" i="12"/>
  <c r="V204" i="12"/>
  <c r="G41" i="22" s="1"/>
  <c r="V209" i="12"/>
  <c r="X209" i="12" s="1"/>
  <c r="G255" i="12"/>
  <c r="I255" i="12" s="1"/>
  <c r="G116" i="12"/>
  <c r="G117" i="12"/>
  <c r="I117" i="12" s="1"/>
  <c r="V71" i="12"/>
  <c r="X71" i="12" s="1"/>
  <c r="V117" i="12"/>
  <c r="X117" i="12" s="1"/>
  <c r="V121" i="12"/>
  <c r="V123" i="12"/>
  <c r="G124" i="12"/>
  <c r="V168" i="12"/>
  <c r="V169" i="12"/>
  <c r="G213" i="12"/>
  <c r="V220" i="12"/>
  <c r="V213" i="12"/>
  <c r="V262" i="12"/>
  <c r="X254" i="12"/>
  <c r="I116" i="12"/>
  <c r="V116" i="12"/>
  <c r="G121" i="12"/>
  <c r="G122" i="12"/>
  <c r="G123" i="12"/>
  <c r="T163" i="12"/>
  <c r="V163" i="12" s="1"/>
  <c r="X163" i="12" s="1"/>
  <c r="V70" i="12"/>
  <c r="X70" i="12" s="1"/>
  <c r="V122" i="12"/>
  <c r="V124" i="12"/>
  <c r="G167" i="12"/>
  <c r="G168" i="12"/>
  <c r="V76" i="12"/>
  <c r="G215" i="12"/>
  <c r="G204" i="12"/>
  <c r="G254" i="12"/>
  <c r="F43" i="23" s="1"/>
  <c r="G259" i="12"/>
  <c r="V255" i="12"/>
  <c r="X255" i="12" s="1"/>
  <c r="V232" i="12"/>
  <c r="G40" i="23" s="1"/>
  <c r="X228" i="12"/>
  <c r="V266" i="12"/>
  <c r="I228" i="12"/>
  <c r="G237" i="12"/>
  <c r="I261" i="12"/>
  <c r="G230" i="12"/>
  <c r="I230" i="12" s="1"/>
  <c r="G231" i="12"/>
  <c r="I231" i="12" s="1"/>
  <c r="E262" i="12"/>
  <c r="G262" i="12" s="1"/>
  <c r="G245" i="12"/>
  <c r="V186" i="12"/>
  <c r="G40" i="22" s="1"/>
  <c r="X182" i="12"/>
  <c r="X183" i="12"/>
  <c r="S205" i="12"/>
  <c r="T205" i="12" s="1"/>
  <c r="V205" i="12" s="1"/>
  <c r="G220" i="12"/>
  <c r="I183" i="12"/>
  <c r="I182" i="12"/>
  <c r="G186" i="12"/>
  <c r="F40" i="22" s="1"/>
  <c r="V82" i="12"/>
  <c r="V77" i="12"/>
  <c r="X44" i="12"/>
  <c r="X45" i="12"/>
  <c r="I45" i="12"/>
  <c r="G46" i="12"/>
  <c r="I46" i="12" s="1"/>
  <c r="G53" i="12"/>
  <c r="I77" i="12"/>
  <c r="F44" i="12"/>
  <c r="G44" i="12" s="1"/>
  <c r="G62" i="12"/>
  <c r="G56" i="12"/>
  <c r="E78" i="12"/>
  <c r="G78" i="12" s="1"/>
  <c r="G61" i="12"/>
  <c r="G169" i="12"/>
  <c r="V140" i="12"/>
  <c r="V174" i="12"/>
  <c r="X136" i="12"/>
  <c r="G174" i="12"/>
  <c r="G140" i="12"/>
  <c r="F40" i="20" s="1"/>
  <c r="I136" i="12"/>
  <c r="G159" i="12"/>
  <c r="F41" i="20" s="1"/>
  <c r="G94" i="12"/>
  <c r="F40" i="18" s="1"/>
  <c r="I90" i="12"/>
  <c r="V94" i="12"/>
  <c r="G40" i="18" s="1"/>
  <c r="X90" i="12"/>
  <c r="I91" i="12"/>
  <c r="G128" i="12"/>
  <c r="V128" i="12"/>
  <c r="X91" i="12"/>
  <c r="V113" i="12"/>
  <c r="G41" i="18" s="1"/>
  <c r="F5" i="1"/>
  <c r="G5" i="1" s="1"/>
  <c r="T55" i="24"/>
  <c r="K55" i="24"/>
  <c r="T54" i="24"/>
  <c r="K54" i="24"/>
  <c r="T53" i="24"/>
  <c r="W52" i="24"/>
  <c r="V52" i="24"/>
  <c r="U52" i="24"/>
  <c r="AK42" i="24"/>
  <c r="AK40" i="24"/>
  <c r="AK39" i="24"/>
  <c r="L39" i="24"/>
  <c r="AK38" i="24"/>
  <c r="AK37" i="24"/>
  <c r="AK36" i="24"/>
  <c r="AK35" i="24"/>
  <c r="F34" i="24"/>
  <c r="E34" i="24"/>
  <c r="G34" i="24" s="1"/>
  <c r="F33" i="24"/>
  <c r="E33" i="24"/>
  <c r="G33" i="24" s="1"/>
  <c r="AK32" i="24"/>
  <c r="P32" i="24"/>
  <c r="M32" i="24" s="1"/>
  <c r="F32" i="24"/>
  <c r="E32" i="24"/>
  <c r="AK31" i="24"/>
  <c r="P31" i="24"/>
  <c r="M31" i="24" s="1"/>
  <c r="AK30" i="24"/>
  <c r="F29" i="24"/>
  <c r="E29" i="24"/>
  <c r="T28" i="24"/>
  <c r="AK28" i="24" s="1"/>
  <c r="F28" i="24"/>
  <c r="E28" i="24"/>
  <c r="G28" i="24" s="1"/>
  <c r="T27" i="24"/>
  <c r="AK27" i="24" s="1"/>
  <c r="F27" i="24"/>
  <c r="E27" i="24"/>
  <c r="T26" i="24"/>
  <c r="K52" i="24" s="1"/>
  <c r="T25" i="24"/>
  <c r="AK25" i="24" s="1"/>
  <c r="T24" i="24"/>
  <c r="AK24" i="24" s="1"/>
  <c r="T23" i="24"/>
  <c r="AK23" i="24" s="1"/>
  <c r="T22" i="24"/>
  <c r="AK22" i="24" s="1"/>
  <c r="E22" i="24"/>
  <c r="T21" i="24"/>
  <c r="AK21" i="24" s="1"/>
  <c r="E21" i="24"/>
  <c r="T20" i="24"/>
  <c r="K51" i="24" s="1"/>
  <c r="E20" i="24"/>
  <c r="T19" i="24"/>
  <c r="AK19" i="24" s="1"/>
  <c r="E19" i="24"/>
  <c r="T18" i="24"/>
  <c r="AK18" i="24" s="1"/>
  <c r="E18" i="24"/>
  <c r="T17" i="24"/>
  <c r="AK17" i="24" s="1"/>
  <c r="E17" i="24"/>
  <c r="T16" i="24"/>
  <c r="K50" i="24" s="1"/>
  <c r="T15" i="24"/>
  <c r="K49" i="24" s="1"/>
  <c r="AK14" i="24"/>
  <c r="P14" i="24"/>
  <c r="AK13" i="24"/>
  <c r="E11" i="24"/>
  <c r="F10" i="24"/>
  <c r="E10" i="24"/>
  <c r="F9" i="24"/>
  <c r="E9" i="24"/>
  <c r="F8" i="24"/>
  <c r="F7" i="24"/>
  <c r="E7" i="24"/>
  <c r="F6" i="24"/>
  <c r="F5" i="24"/>
  <c r="E5" i="24"/>
  <c r="P3" i="24" s="1"/>
  <c r="K1" i="24"/>
  <c r="T55" i="23"/>
  <c r="K55" i="23"/>
  <c r="T54" i="23"/>
  <c r="K54" i="23"/>
  <c r="T53" i="23"/>
  <c r="W52" i="23"/>
  <c r="V52" i="23"/>
  <c r="U52" i="23"/>
  <c r="L39" i="23"/>
  <c r="F34" i="23"/>
  <c r="E34" i="23"/>
  <c r="G34" i="23" s="1"/>
  <c r="F33" i="23"/>
  <c r="E33" i="23"/>
  <c r="G33" i="23" s="1"/>
  <c r="P32" i="23"/>
  <c r="M32" i="23" s="1"/>
  <c r="F32" i="23"/>
  <c r="E32" i="23"/>
  <c r="P31" i="23"/>
  <c r="M31" i="23" s="1"/>
  <c r="F29" i="23"/>
  <c r="E29" i="23"/>
  <c r="T28" i="23"/>
  <c r="AK28" i="23" s="1"/>
  <c r="F28" i="23"/>
  <c r="E28" i="23"/>
  <c r="G28" i="23" s="1"/>
  <c r="T27" i="23"/>
  <c r="AK27" i="23" s="1"/>
  <c r="F27" i="23"/>
  <c r="E27" i="23"/>
  <c r="T26" i="23"/>
  <c r="AK26" i="23" s="1"/>
  <c r="T25" i="23"/>
  <c r="AK25" i="23" s="1"/>
  <c r="T24" i="23"/>
  <c r="AK24" i="23" s="1"/>
  <c r="T23" i="23"/>
  <c r="AK23" i="23" s="1"/>
  <c r="T22" i="23"/>
  <c r="AK22" i="23" s="1"/>
  <c r="E22" i="23"/>
  <c r="T21" i="23"/>
  <c r="AK21" i="23" s="1"/>
  <c r="E21" i="23"/>
  <c r="T20" i="23"/>
  <c r="AK20" i="23" s="1"/>
  <c r="E20" i="23"/>
  <c r="T19" i="23"/>
  <c r="AK19" i="23" s="1"/>
  <c r="E19" i="23"/>
  <c r="T18" i="23"/>
  <c r="AK18" i="23" s="1"/>
  <c r="E18" i="23"/>
  <c r="T17" i="23"/>
  <c r="AK17" i="23" s="1"/>
  <c r="E17" i="23"/>
  <c r="T16" i="23"/>
  <c r="T15" i="23"/>
  <c r="P14" i="23"/>
  <c r="E11" i="23"/>
  <c r="F10" i="23"/>
  <c r="E10" i="23"/>
  <c r="P3" i="23" s="1"/>
  <c r="F9" i="23"/>
  <c r="E9" i="23"/>
  <c r="F8" i="23"/>
  <c r="F7" i="23"/>
  <c r="E7" i="23"/>
  <c r="F6" i="23"/>
  <c r="F5" i="23"/>
  <c r="E5" i="23"/>
  <c r="K1" i="23"/>
  <c r="T55" i="22"/>
  <c r="K55" i="22"/>
  <c r="T54" i="22"/>
  <c r="K54" i="22"/>
  <c r="T53" i="22"/>
  <c r="W52" i="22"/>
  <c r="V52" i="22"/>
  <c r="U52" i="22"/>
  <c r="L39" i="22"/>
  <c r="F34" i="22"/>
  <c r="E34" i="22"/>
  <c r="G34" i="22" s="1"/>
  <c r="F33" i="22"/>
  <c r="E33" i="22"/>
  <c r="G33" i="22" s="1"/>
  <c r="P32" i="22"/>
  <c r="M32" i="22" s="1"/>
  <c r="F32" i="22"/>
  <c r="E32" i="22"/>
  <c r="P31" i="22"/>
  <c r="M31" i="22" s="1"/>
  <c r="F29" i="22"/>
  <c r="E29" i="22"/>
  <c r="T28" i="22"/>
  <c r="AK28" i="22" s="1"/>
  <c r="F28" i="22"/>
  <c r="E28" i="22"/>
  <c r="G28" i="22" s="1"/>
  <c r="T27" i="22"/>
  <c r="AK27" i="22" s="1"/>
  <c r="F27" i="22"/>
  <c r="E27" i="22"/>
  <c r="T26" i="22"/>
  <c r="T25" i="22"/>
  <c r="AK25" i="22" s="1"/>
  <c r="T24" i="22"/>
  <c r="AK24" i="22" s="1"/>
  <c r="T23" i="22"/>
  <c r="AK23" i="22" s="1"/>
  <c r="T22" i="22"/>
  <c r="AK22" i="22" s="1"/>
  <c r="E22" i="22"/>
  <c r="T21" i="22"/>
  <c r="AK21" i="22" s="1"/>
  <c r="E21" i="22"/>
  <c r="T20" i="22"/>
  <c r="AK20" i="22" s="1"/>
  <c r="E20" i="22"/>
  <c r="T19" i="22"/>
  <c r="AK19" i="22" s="1"/>
  <c r="E19" i="22"/>
  <c r="T18" i="22"/>
  <c r="AK18" i="22" s="1"/>
  <c r="E18" i="22"/>
  <c r="T17" i="22"/>
  <c r="AK17" i="22" s="1"/>
  <c r="E17" i="22"/>
  <c r="T16" i="22"/>
  <c r="T15" i="22"/>
  <c r="E11" i="22"/>
  <c r="F10" i="22"/>
  <c r="E10" i="22"/>
  <c r="F9" i="22"/>
  <c r="E9" i="22"/>
  <c r="F8" i="22"/>
  <c r="F7" i="22"/>
  <c r="E7" i="22"/>
  <c r="F6" i="22"/>
  <c r="F5" i="22"/>
  <c r="E5" i="22"/>
  <c r="K1" i="22"/>
  <c r="T55" i="20"/>
  <c r="K55" i="20"/>
  <c r="T54" i="20"/>
  <c r="K54" i="20"/>
  <c r="T53" i="20"/>
  <c r="W52" i="20"/>
  <c r="V52" i="20"/>
  <c r="U52" i="20"/>
  <c r="L39" i="20"/>
  <c r="F34" i="20"/>
  <c r="E34" i="20"/>
  <c r="G34" i="20" s="1"/>
  <c r="F33" i="20"/>
  <c r="E33" i="20"/>
  <c r="G33" i="20" s="1"/>
  <c r="P32" i="20"/>
  <c r="M32" i="20" s="1"/>
  <c r="F32" i="20"/>
  <c r="E32" i="20"/>
  <c r="G32" i="20" s="1"/>
  <c r="P31" i="20"/>
  <c r="M31" i="20" s="1"/>
  <c r="F29" i="20"/>
  <c r="E29" i="20"/>
  <c r="T28" i="20"/>
  <c r="AK28" i="20" s="1"/>
  <c r="F28" i="20"/>
  <c r="E28" i="20"/>
  <c r="T27" i="20"/>
  <c r="AK27" i="20" s="1"/>
  <c r="F27" i="20"/>
  <c r="E27" i="20"/>
  <c r="T26" i="20"/>
  <c r="T25" i="20"/>
  <c r="AK25" i="20" s="1"/>
  <c r="T24" i="20"/>
  <c r="AK24" i="20" s="1"/>
  <c r="T23" i="20"/>
  <c r="AK23" i="20" s="1"/>
  <c r="T22" i="20"/>
  <c r="AK22" i="20" s="1"/>
  <c r="E22" i="20"/>
  <c r="T21" i="20"/>
  <c r="AK21" i="20" s="1"/>
  <c r="E21" i="20"/>
  <c r="T20" i="20"/>
  <c r="AK20" i="20" s="1"/>
  <c r="E20" i="20"/>
  <c r="T19" i="20"/>
  <c r="AK19" i="20" s="1"/>
  <c r="E19" i="20"/>
  <c r="T18" i="20"/>
  <c r="AK18" i="20" s="1"/>
  <c r="E18" i="20"/>
  <c r="T17" i="20"/>
  <c r="AK17" i="20" s="1"/>
  <c r="E17" i="20"/>
  <c r="T16" i="20"/>
  <c r="T15" i="20"/>
  <c r="P14" i="20"/>
  <c r="E11" i="20"/>
  <c r="F10" i="20"/>
  <c r="E10" i="20"/>
  <c r="F9" i="20"/>
  <c r="E9" i="20"/>
  <c r="F8" i="20"/>
  <c r="F7" i="20"/>
  <c r="E7" i="20"/>
  <c r="F6" i="20"/>
  <c r="F5" i="20"/>
  <c r="E5" i="20"/>
  <c r="K1" i="20"/>
  <c r="P32" i="18"/>
  <c r="M32" i="18" s="1"/>
  <c r="P31" i="18"/>
  <c r="M31" i="18" s="1"/>
  <c r="K55" i="18"/>
  <c r="K54" i="18"/>
  <c r="P14" i="18"/>
  <c r="E7" i="18"/>
  <c r="P3" i="18" s="1"/>
  <c r="F43" i="24" l="1"/>
  <c r="G28" i="20"/>
  <c r="G66" i="25"/>
  <c r="E66" i="25" s="1"/>
  <c r="D205" i="12"/>
  <c r="E205" i="12" s="1"/>
  <c r="G205" i="12" s="1"/>
  <c r="F41" i="22" s="1"/>
  <c r="G64" i="25"/>
  <c r="E64" i="25" s="1"/>
  <c r="X174" i="12"/>
  <c r="G40" i="20"/>
  <c r="G43" i="20"/>
  <c r="G43" i="23"/>
  <c r="F43" i="22"/>
  <c r="G43" i="22"/>
  <c r="G61" i="25"/>
  <c r="E61" i="25" s="1"/>
  <c r="G60" i="25"/>
  <c r="E60" i="25" s="1"/>
  <c r="G65" i="25"/>
  <c r="E65" i="25" s="1"/>
  <c r="G62" i="25"/>
  <c r="E62" i="25" s="1"/>
  <c r="H61" i="25"/>
  <c r="F61" i="25" s="1"/>
  <c r="H65" i="25"/>
  <c r="F65" i="25" s="1"/>
  <c r="H60" i="25"/>
  <c r="F60" i="25" s="1"/>
  <c r="F58" i="25"/>
  <c r="H62" i="25"/>
  <c r="F62" i="25" s="1"/>
  <c r="H66" i="25"/>
  <c r="F66" i="25" s="1"/>
  <c r="G32" i="22"/>
  <c r="G32" i="23"/>
  <c r="G32" i="24"/>
  <c r="X116" i="12"/>
  <c r="G43" i="18"/>
  <c r="F43" i="18"/>
  <c r="G113" i="12"/>
  <c r="F41" i="18" s="1"/>
  <c r="K49" i="20"/>
  <c r="AK15" i="20"/>
  <c r="K49" i="22"/>
  <c r="AK15" i="22"/>
  <c r="K49" i="23"/>
  <c r="AK15" i="23"/>
  <c r="K50" i="22"/>
  <c r="AK16" i="22"/>
  <c r="K52" i="22"/>
  <c r="AK26" i="22"/>
  <c r="K50" i="23"/>
  <c r="AK16" i="23"/>
  <c r="K50" i="20"/>
  <c r="AK16" i="20"/>
  <c r="K52" i="20"/>
  <c r="AK26" i="20"/>
  <c r="I128" i="12"/>
  <c r="T263" i="12"/>
  <c r="S263" i="12" s="1"/>
  <c r="X266" i="12"/>
  <c r="I254" i="12"/>
  <c r="T217" i="12"/>
  <c r="S217" i="12" s="1"/>
  <c r="X220" i="12"/>
  <c r="X191" i="12" s="1"/>
  <c r="E217" i="12"/>
  <c r="G217" i="12" s="1"/>
  <c r="F45" i="22" s="1"/>
  <c r="I220" i="12"/>
  <c r="I191" i="12" s="1"/>
  <c r="X128" i="12"/>
  <c r="I174" i="12"/>
  <c r="Z16" i="20"/>
  <c r="S67" i="12"/>
  <c r="T67" i="12" s="1"/>
  <c r="V67" i="12" s="1"/>
  <c r="S251" i="12"/>
  <c r="T251" i="12" s="1"/>
  <c r="V251" i="12" s="1"/>
  <c r="G43" i="24"/>
  <c r="O31" i="23"/>
  <c r="Q38" i="23"/>
  <c r="M38" i="23"/>
  <c r="O7" i="23"/>
  <c r="M39" i="23"/>
  <c r="O32" i="23"/>
  <c r="O8" i="23"/>
  <c r="M38" i="18"/>
  <c r="O32" i="18"/>
  <c r="Q38" i="18"/>
  <c r="O31" i="18"/>
  <c r="AK15" i="24"/>
  <c r="O8" i="24"/>
  <c r="O32" i="24"/>
  <c r="O7" i="24"/>
  <c r="O31" i="24"/>
  <c r="Q38" i="24"/>
  <c r="M39" i="24"/>
  <c r="M38" i="24"/>
  <c r="AK20" i="24"/>
  <c r="AK26" i="24"/>
  <c r="V159" i="12"/>
  <c r="G41" i="20" s="1"/>
  <c r="G9" i="20"/>
  <c r="G27" i="20"/>
  <c r="G29" i="20"/>
  <c r="G29" i="22"/>
  <c r="G27" i="22"/>
  <c r="G9" i="22"/>
  <c r="M5" i="22" s="1"/>
  <c r="G9" i="23"/>
  <c r="M5" i="23" s="1"/>
  <c r="G9" i="24"/>
  <c r="V263" i="12"/>
  <c r="G45" i="23" s="1"/>
  <c r="G232" i="12"/>
  <c r="F40" i="23" s="1"/>
  <c r="G266" i="12"/>
  <c r="D251" i="12"/>
  <c r="E251" i="12" s="1"/>
  <c r="G251" i="12" s="1"/>
  <c r="F41" i="23" s="1"/>
  <c r="V217" i="12"/>
  <c r="G45" i="22" s="1"/>
  <c r="G10" i="23"/>
  <c r="M6" i="23" s="1"/>
  <c r="P3" i="22"/>
  <c r="G82" i="12"/>
  <c r="G48" i="12"/>
  <c r="I44" i="12"/>
  <c r="D67" i="12"/>
  <c r="E67" i="12" s="1"/>
  <c r="G67" i="12" s="1"/>
  <c r="G5" i="22"/>
  <c r="G27" i="24"/>
  <c r="G27" i="23"/>
  <c r="X37" i="20"/>
  <c r="AD37" i="20" s="1"/>
  <c r="G10" i="24"/>
  <c r="E16" i="23"/>
  <c r="E23" i="23" s="1"/>
  <c r="E16" i="20"/>
  <c r="E23" i="20" s="1"/>
  <c r="E16" i="22"/>
  <c r="E23" i="22" s="1"/>
  <c r="G7" i="20"/>
  <c r="M6" i="20" s="1"/>
  <c r="G29" i="23"/>
  <c r="G29" i="24"/>
  <c r="G5" i="23"/>
  <c r="G7" i="23"/>
  <c r="G5" i="20"/>
  <c r="G5" i="24"/>
  <c r="M5" i="24" s="1"/>
  <c r="T10" i="24" s="1"/>
  <c r="E16" i="24"/>
  <c r="E23" i="24" s="1"/>
  <c r="G7" i="24"/>
  <c r="AK16" i="24"/>
  <c r="K51" i="23"/>
  <c r="K52" i="23"/>
  <c r="K51" i="22"/>
  <c r="G10" i="22"/>
  <c r="M6" i="22" s="1"/>
  <c r="N6" i="22" s="1"/>
  <c r="G7" i="22"/>
  <c r="P3" i="20"/>
  <c r="G10" i="20"/>
  <c r="K51" i="20"/>
  <c r="AE29" i="11"/>
  <c r="N204" i="12" l="1"/>
  <c r="AC251" i="12"/>
  <c r="G41" i="23"/>
  <c r="AC255" i="12"/>
  <c r="Z32" i="23" s="1"/>
  <c r="X237" i="12"/>
  <c r="I82" i="12"/>
  <c r="N66" i="12" s="1"/>
  <c r="X27" i="24" s="1"/>
  <c r="AD27" i="24" s="1"/>
  <c r="AC262" i="12"/>
  <c r="E67" i="25"/>
  <c r="E68" i="25" s="1"/>
  <c r="F67" i="25"/>
  <c r="F68" i="25" s="1"/>
  <c r="Z31" i="18"/>
  <c r="AC217" i="12"/>
  <c r="V265" i="12"/>
  <c r="V267" i="12" s="1"/>
  <c r="E43" i="24"/>
  <c r="AC263" i="12"/>
  <c r="Z40" i="23" s="1"/>
  <c r="AC261" i="12"/>
  <c r="Z38" i="23" s="1"/>
  <c r="AC254" i="12"/>
  <c r="Z31" i="23" s="1"/>
  <c r="AC248" i="12"/>
  <c r="Z25" i="23" s="1"/>
  <c r="AC250" i="12"/>
  <c r="AC259" i="12"/>
  <c r="AC241" i="12"/>
  <c r="Z18" i="23" s="1"/>
  <c r="AC239" i="12"/>
  <c r="Z16" i="23" s="1"/>
  <c r="AC246" i="12"/>
  <c r="Z23" i="23" s="1"/>
  <c r="AC249" i="12"/>
  <c r="Z26" i="23" s="1"/>
  <c r="AC243" i="12"/>
  <c r="Z20" i="23" s="1"/>
  <c r="AC240" i="12"/>
  <c r="Z17" i="23" s="1"/>
  <c r="AC245" i="12"/>
  <c r="Z22" i="23" s="1"/>
  <c r="AC260" i="12"/>
  <c r="Z37" i="23" s="1"/>
  <c r="AC242" i="12"/>
  <c r="Z19" i="23" s="1"/>
  <c r="AC244" i="12"/>
  <c r="Z21" i="23" s="1"/>
  <c r="AC247" i="12"/>
  <c r="Z24" i="23" s="1"/>
  <c r="AC238" i="12"/>
  <c r="E263" i="12"/>
  <c r="D263" i="12" s="1"/>
  <c r="I266" i="12"/>
  <c r="I237" i="12" s="1"/>
  <c r="D217" i="12"/>
  <c r="Z39" i="18"/>
  <c r="E43" i="18"/>
  <c r="E43" i="23"/>
  <c r="N5" i="23"/>
  <c r="O5" i="23" s="1"/>
  <c r="T10" i="23"/>
  <c r="N5" i="22"/>
  <c r="O5" i="22" s="1"/>
  <c r="T10" i="22"/>
  <c r="N6" i="20"/>
  <c r="O6" i="20" s="1"/>
  <c r="Z27" i="20"/>
  <c r="Z39" i="20"/>
  <c r="Z24" i="20"/>
  <c r="Z31" i="20"/>
  <c r="Z23" i="20"/>
  <c r="Z21" i="20"/>
  <c r="Z22" i="20"/>
  <c r="AA176" i="12"/>
  <c r="Z15" i="20"/>
  <c r="X38" i="20"/>
  <c r="AD38" i="20" s="1"/>
  <c r="Z20" i="20"/>
  <c r="Z26" i="20"/>
  <c r="Z32" i="20"/>
  <c r="Z36" i="20"/>
  <c r="Z18" i="20"/>
  <c r="Z25" i="20"/>
  <c r="Z17" i="20"/>
  <c r="Z28" i="20"/>
  <c r="Z37" i="20"/>
  <c r="Z19" i="20"/>
  <c r="Z38" i="20"/>
  <c r="G41" i="24"/>
  <c r="AC216" i="12"/>
  <c r="Z39" i="22" s="1"/>
  <c r="AC200" i="12"/>
  <c r="AC214" i="12"/>
  <c r="Z37" i="22" s="1"/>
  <c r="AC215" i="12"/>
  <c r="Z38" i="22" s="1"/>
  <c r="AC192" i="12"/>
  <c r="Z15" i="22" s="1"/>
  <c r="AC197" i="12"/>
  <c r="Z20" i="22" s="1"/>
  <c r="AC204" i="12"/>
  <c r="Z27" i="22" s="1"/>
  <c r="AC195" i="12"/>
  <c r="Z18" i="22" s="1"/>
  <c r="AC209" i="12"/>
  <c r="Z32" i="22" s="1"/>
  <c r="AC199" i="12"/>
  <c r="AC201" i="12"/>
  <c r="Z24" i="22" s="1"/>
  <c r="AC194" i="12"/>
  <c r="Z17" i="22" s="1"/>
  <c r="AC202" i="12"/>
  <c r="Z25" i="22" s="1"/>
  <c r="AC213" i="12"/>
  <c r="AC196" i="12"/>
  <c r="Z19" i="22" s="1"/>
  <c r="AC203" i="12"/>
  <c r="Z26" i="22" s="1"/>
  <c r="AC198" i="12"/>
  <c r="Z21" i="22" s="1"/>
  <c r="AC208" i="12"/>
  <c r="AC193" i="12"/>
  <c r="Z16" i="22" s="1"/>
  <c r="AC205" i="12"/>
  <c r="Z28" i="22" s="1"/>
  <c r="N213" i="12"/>
  <c r="X36" i="22" s="1"/>
  <c r="AD36" i="22" s="1"/>
  <c r="N216" i="12"/>
  <c r="X39" i="22" s="1"/>
  <c r="AD39" i="22" s="1"/>
  <c r="N199" i="12"/>
  <c r="X22" i="22" s="1"/>
  <c r="AD22" i="22" s="1"/>
  <c r="N209" i="12"/>
  <c r="N208" i="12"/>
  <c r="X31" i="22" s="1"/>
  <c r="AD31" i="22" s="1"/>
  <c r="N193" i="12"/>
  <c r="X16" i="22" s="1"/>
  <c r="AD16" i="22" s="1"/>
  <c r="N200" i="12"/>
  <c r="X23" i="22" s="1"/>
  <c r="AD23" i="22" s="1"/>
  <c r="N196" i="12"/>
  <c r="X19" i="22" s="1"/>
  <c r="N203" i="12"/>
  <c r="N202" i="12"/>
  <c r="X25" i="22" s="1"/>
  <c r="AD25" i="22" s="1"/>
  <c r="N195" i="12"/>
  <c r="X18" i="22" s="1"/>
  <c r="N214" i="12"/>
  <c r="N194" i="12"/>
  <c r="X17" i="22" s="1"/>
  <c r="N197" i="12"/>
  <c r="X20" i="22" s="1"/>
  <c r="AD20" i="22" s="1"/>
  <c r="N198" i="12"/>
  <c r="X21" i="22" s="1"/>
  <c r="AD21" i="22" s="1"/>
  <c r="N192" i="12"/>
  <c r="X15" i="22" s="1"/>
  <c r="AD15" i="22" s="1"/>
  <c r="N201" i="12"/>
  <c r="N217" i="12"/>
  <c r="N205" i="12"/>
  <c r="X28" i="22" s="1"/>
  <c r="AD28" i="22" s="1"/>
  <c r="N215" i="12"/>
  <c r="X38" i="22" s="1"/>
  <c r="AD38" i="22" s="1"/>
  <c r="E79" i="12"/>
  <c r="D79" i="12" s="1"/>
  <c r="F40" i="24"/>
  <c r="F42" i="18"/>
  <c r="F44" i="18" s="1"/>
  <c r="F41" i="24"/>
  <c r="M39" i="22"/>
  <c r="M38" i="22"/>
  <c r="O32" i="22"/>
  <c r="O8" i="22"/>
  <c r="Q8" i="22" s="1"/>
  <c r="Q38" i="22"/>
  <c r="O7" i="22"/>
  <c r="Q7" i="22" s="1"/>
  <c r="O6" i="22"/>
  <c r="O31" i="22"/>
  <c r="Q38" i="20"/>
  <c r="O32" i="20"/>
  <c r="V32" i="20" s="1"/>
  <c r="M39" i="20"/>
  <c r="M38" i="20"/>
  <c r="O31" i="20"/>
  <c r="V31" i="20" s="1"/>
  <c r="M6" i="24"/>
  <c r="N6" i="24" s="1"/>
  <c r="N5" i="24"/>
  <c r="O5" i="24" s="1"/>
  <c r="X37" i="18"/>
  <c r="AD37" i="18" s="1"/>
  <c r="AA130" i="12"/>
  <c r="Z28" i="23"/>
  <c r="Z27" i="23"/>
  <c r="L130" i="12"/>
  <c r="Z39" i="23"/>
  <c r="AA268" i="12"/>
  <c r="M5" i="20"/>
  <c r="N5" i="20" s="1"/>
  <c r="N6" i="23"/>
  <c r="O6" i="23" s="1"/>
  <c r="G263" i="12"/>
  <c r="F45" i="23" s="1"/>
  <c r="Z22" i="22"/>
  <c r="AA222" i="12"/>
  <c r="Z31" i="22"/>
  <c r="Z23" i="22"/>
  <c r="Z40" i="22"/>
  <c r="V219" i="12"/>
  <c r="V221" i="12" s="1"/>
  <c r="X24" i="22"/>
  <c r="AD24" i="22" s="1"/>
  <c r="L222" i="12"/>
  <c r="X26" i="22"/>
  <c r="AD26" i="22" s="1"/>
  <c r="X27" i="22"/>
  <c r="AD27" i="22" s="1"/>
  <c r="X37" i="22"/>
  <c r="AD37" i="22" s="1"/>
  <c r="X32" i="22"/>
  <c r="AD32" i="22" s="1"/>
  <c r="X40" i="22"/>
  <c r="AD40" i="22" s="1"/>
  <c r="G219" i="12"/>
  <c r="G221" i="12" s="1"/>
  <c r="V171" i="12"/>
  <c r="G171" i="12"/>
  <c r="F45" i="20" s="1"/>
  <c r="G125" i="12"/>
  <c r="V125" i="12"/>
  <c r="Q7" i="24"/>
  <c r="Q7" i="23"/>
  <c r="Q8" i="23"/>
  <c r="H27" i="12"/>
  <c r="H26" i="12"/>
  <c r="W27" i="12"/>
  <c r="W26" i="12"/>
  <c r="Z30" i="23" l="1"/>
  <c r="W54" i="23" s="1"/>
  <c r="G45" i="18"/>
  <c r="X40" i="18"/>
  <c r="AD40" i="18" s="1"/>
  <c r="F45" i="18"/>
  <c r="Z40" i="20"/>
  <c r="Z35" i="20" s="1"/>
  <c r="W55" i="20" s="1"/>
  <c r="G45" i="20"/>
  <c r="AC265" i="12"/>
  <c r="G79" i="12"/>
  <c r="N79" i="12" s="1"/>
  <c r="X40" i="24" s="1"/>
  <c r="AD40" i="24" s="1"/>
  <c r="AC258" i="12"/>
  <c r="AC237" i="12"/>
  <c r="AC253" i="12"/>
  <c r="Z36" i="23"/>
  <c r="Z35" i="23" s="1"/>
  <c r="Z15" i="23"/>
  <c r="Z14" i="23" s="1"/>
  <c r="W53" i="23" s="1"/>
  <c r="N243" i="12"/>
  <c r="X20" i="23" s="1"/>
  <c r="AD20" i="23" s="1"/>
  <c r="N249" i="12"/>
  <c r="X26" i="23" s="1"/>
  <c r="AD26" i="23" s="1"/>
  <c r="N246" i="12"/>
  <c r="X23" i="23" s="1"/>
  <c r="AD23" i="23" s="1"/>
  <c r="N250" i="12"/>
  <c r="N244" i="12"/>
  <c r="X21" i="23" s="1"/>
  <c r="AD21" i="23" s="1"/>
  <c r="N255" i="12"/>
  <c r="N248" i="12"/>
  <c r="X25" i="23" s="1"/>
  <c r="AD25" i="23" s="1"/>
  <c r="N260" i="12"/>
  <c r="X37" i="23" s="1"/>
  <c r="AD37" i="23" s="1"/>
  <c r="N241" i="12"/>
  <c r="X18" i="23" s="1"/>
  <c r="N261" i="12"/>
  <c r="N239" i="12"/>
  <c r="X16" i="23" s="1"/>
  <c r="AD16" i="23" s="1"/>
  <c r="N242" i="12"/>
  <c r="X19" i="23" s="1"/>
  <c r="N247" i="12"/>
  <c r="N240" i="12"/>
  <c r="X17" i="23" s="1"/>
  <c r="N262" i="12"/>
  <c r="X39" i="23" s="1"/>
  <c r="AD39" i="23" s="1"/>
  <c r="N238" i="12"/>
  <c r="X15" i="23" s="1"/>
  <c r="AD15" i="23" s="1"/>
  <c r="N245" i="12"/>
  <c r="X22" i="23" s="1"/>
  <c r="AD22" i="23" s="1"/>
  <c r="N254" i="12"/>
  <c r="X31" i="23" s="1"/>
  <c r="AD31" i="23" s="1"/>
  <c r="N259" i="12"/>
  <c r="X36" i="23" s="1"/>
  <c r="AD36" i="23" s="1"/>
  <c r="G265" i="12"/>
  <c r="G267" i="12" s="1"/>
  <c r="N263" i="12"/>
  <c r="X40" i="23" s="1"/>
  <c r="AD40" i="23" s="1"/>
  <c r="N251" i="12"/>
  <c r="X28" i="23" s="1"/>
  <c r="AD28" i="23" s="1"/>
  <c r="AC127" i="12"/>
  <c r="AI32" i="20"/>
  <c r="F42" i="23"/>
  <c r="F44" i="23" s="1"/>
  <c r="E43" i="20"/>
  <c r="E43" i="22"/>
  <c r="F42" i="20"/>
  <c r="F44" i="20" s="1"/>
  <c r="N145" i="12"/>
  <c r="N173" i="12"/>
  <c r="AC267" i="12"/>
  <c r="AC212" i="12"/>
  <c r="AC207" i="12"/>
  <c r="L176" i="12"/>
  <c r="Z36" i="22"/>
  <c r="Z35" i="22" s="1"/>
  <c r="AC219" i="12"/>
  <c r="AC191" i="12"/>
  <c r="N62" i="12"/>
  <c r="X23" i="24" s="1"/>
  <c r="AD23" i="24" s="1"/>
  <c r="F42" i="22"/>
  <c r="F44" i="22" s="1"/>
  <c r="N55" i="12"/>
  <c r="X16" i="24" s="1"/>
  <c r="AD16" i="24" s="1"/>
  <c r="N75" i="12"/>
  <c r="X36" i="24" s="1"/>
  <c r="AD36" i="24" s="1"/>
  <c r="F46" i="18"/>
  <c r="F42" i="24"/>
  <c r="F44" i="24" s="1"/>
  <c r="O9" i="23"/>
  <c r="Q5" i="23"/>
  <c r="Z42" i="23"/>
  <c r="O9" i="22"/>
  <c r="Q31" i="22"/>
  <c r="O5" i="20"/>
  <c r="O6" i="24"/>
  <c r="I53" i="12"/>
  <c r="L84" i="12" s="1"/>
  <c r="Z37" i="18"/>
  <c r="N127" i="12"/>
  <c r="X15" i="18"/>
  <c r="AD15" i="18" s="1"/>
  <c r="N99" i="12"/>
  <c r="X24" i="18"/>
  <c r="AD24" i="18" s="1"/>
  <c r="X28" i="20"/>
  <c r="AD28" i="20" s="1"/>
  <c r="Z21" i="18"/>
  <c r="Z16" i="18"/>
  <c r="N61" i="12"/>
  <c r="X22" i="24" s="1"/>
  <c r="AD22" i="24" s="1"/>
  <c r="N57" i="12"/>
  <c r="X18" i="24" s="1"/>
  <c r="X31" i="20"/>
  <c r="AD31" i="20" s="1"/>
  <c r="X27" i="20"/>
  <c r="AD27" i="20" s="1"/>
  <c r="X40" i="20"/>
  <c r="AD40" i="20" s="1"/>
  <c r="N54" i="12"/>
  <c r="X15" i="24" s="1"/>
  <c r="N76" i="12"/>
  <c r="X37" i="24" s="1"/>
  <c r="AD37" i="24" s="1"/>
  <c r="N67" i="12"/>
  <c r="X28" i="24" s="1"/>
  <c r="AD28" i="24" s="1"/>
  <c r="X18" i="18"/>
  <c r="X31" i="18"/>
  <c r="AD31" i="18" s="1"/>
  <c r="N115" i="12"/>
  <c r="X32" i="18"/>
  <c r="AD32" i="18" s="1"/>
  <c r="X27" i="18"/>
  <c r="AD27" i="18" s="1"/>
  <c r="Z17" i="18"/>
  <c r="Z32" i="18"/>
  <c r="Z18" i="18"/>
  <c r="Z36" i="18"/>
  <c r="X15" i="20"/>
  <c r="AD15" i="20" s="1"/>
  <c r="X25" i="20"/>
  <c r="AD25" i="20" s="1"/>
  <c r="X26" i="20"/>
  <c r="AD26" i="20" s="1"/>
  <c r="X19" i="20"/>
  <c r="AC173" i="12"/>
  <c r="X39" i="18"/>
  <c r="AD39" i="18" s="1"/>
  <c r="X21" i="18"/>
  <c r="AD21" i="18" s="1"/>
  <c r="Z15" i="18"/>
  <c r="Z22" i="18"/>
  <c r="X23" i="20"/>
  <c r="AD23" i="20" s="1"/>
  <c r="X20" i="20"/>
  <c r="AD20" i="20" s="1"/>
  <c r="N71" i="12"/>
  <c r="X32" i="24" s="1"/>
  <c r="AD32" i="24" s="1"/>
  <c r="N70" i="12"/>
  <c r="X31" i="24" s="1"/>
  <c r="AD31" i="24" s="1"/>
  <c r="Z40" i="18"/>
  <c r="N58" i="12"/>
  <c r="X19" i="24" s="1"/>
  <c r="N56" i="12"/>
  <c r="X17" i="24" s="1"/>
  <c r="N59" i="12"/>
  <c r="X20" i="24" s="1"/>
  <c r="AD20" i="24" s="1"/>
  <c r="N63" i="12"/>
  <c r="X24" i="24" s="1"/>
  <c r="AD24" i="24" s="1"/>
  <c r="X30" i="22"/>
  <c r="X28" i="18"/>
  <c r="AD28" i="18" s="1"/>
  <c r="X26" i="18"/>
  <c r="AD26" i="18" s="1"/>
  <c r="X17" i="18"/>
  <c r="X22" i="18"/>
  <c r="AD22" i="18" s="1"/>
  <c r="X16" i="18"/>
  <c r="AD16" i="18" s="1"/>
  <c r="Z19" i="18"/>
  <c r="Z20" i="18"/>
  <c r="Z27" i="18"/>
  <c r="Z26" i="18"/>
  <c r="X21" i="20"/>
  <c r="AD21" i="20" s="1"/>
  <c r="X32" i="20"/>
  <c r="AD32" i="20" s="1"/>
  <c r="X17" i="20"/>
  <c r="X18" i="20"/>
  <c r="N78" i="12"/>
  <c r="X39" i="24" s="1"/>
  <c r="AD39" i="24" s="1"/>
  <c r="N65" i="12"/>
  <c r="X26" i="24" s="1"/>
  <c r="AD26" i="24" s="1"/>
  <c r="N77" i="12"/>
  <c r="X38" i="24" s="1"/>
  <c r="AD38" i="24" s="1"/>
  <c r="N60" i="12"/>
  <c r="X21" i="24" s="1"/>
  <c r="AD21" i="24" s="1"/>
  <c r="N64" i="12"/>
  <c r="X25" i="24" s="1"/>
  <c r="AD25" i="24" s="1"/>
  <c r="L268" i="12"/>
  <c r="X38" i="18"/>
  <c r="AD38" i="18" s="1"/>
  <c r="X36" i="20"/>
  <c r="AD36" i="20" s="1"/>
  <c r="X23" i="18"/>
  <c r="AD23" i="18" s="1"/>
  <c r="X19" i="18"/>
  <c r="X25" i="18"/>
  <c r="AD25" i="18" s="1"/>
  <c r="X20" i="18"/>
  <c r="AD20" i="18" s="1"/>
  <c r="Z28" i="18"/>
  <c r="Z25" i="18"/>
  <c r="Z38" i="18"/>
  <c r="Z23" i="18"/>
  <c r="Z24" i="18"/>
  <c r="N120" i="12"/>
  <c r="X36" i="18"/>
  <c r="AD36" i="18" s="1"/>
  <c r="X24" i="20"/>
  <c r="AD24" i="20" s="1"/>
  <c r="X16" i="20"/>
  <c r="AD16" i="20" s="1"/>
  <c r="X39" i="20"/>
  <c r="AD39" i="20" s="1"/>
  <c r="X22" i="20"/>
  <c r="AD22" i="20" s="1"/>
  <c r="Z30" i="22"/>
  <c r="Z14" i="22"/>
  <c r="X35" i="22"/>
  <c r="X42" i="22"/>
  <c r="X14" i="22"/>
  <c r="AD14" i="22" s="1"/>
  <c r="W55" i="23"/>
  <c r="X24" i="23"/>
  <c r="AD24" i="23" s="1"/>
  <c r="X27" i="23"/>
  <c r="AD27" i="23" s="1"/>
  <c r="X38" i="23"/>
  <c r="AD38" i="23" s="1"/>
  <c r="N207" i="12"/>
  <c r="N212" i="12"/>
  <c r="N191" i="12"/>
  <c r="N219" i="12"/>
  <c r="G173" i="12"/>
  <c r="V173" i="12"/>
  <c r="V127" i="12"/>
  <c r="G127" i="12"/>
  <c r="Z30" i="20"/>
  <c r="W54" i="20" s="1"/>
  <c r="Q5" i="24"/>
  <c r="Q6" i="23"/>
  <c r="Q6" i="22"/>
  <c r="Q5" i="22"/>
  <c r="Q32" i="22"/>
  <c r="Z42" i="20"/>
  <c r="Z14" i="20"/>
  <c r="AA36" i="12"/>
  <c r="U36" i="12"/>
  <c r="T36" i="12"/>
  <c r="AA35" i="12"/>
  <c r="U35" i="12"/>
  <c r="AA34" i="12"/>
  <c r="U34" i="12"/>
  <c r="T34" i="12"/>
  <c r="S34" i="12"/>
  <c r="AA33" i="12"/>
  <c r="X33" i="12"/>
  <c r="U33" i="12"/>
  <c r="T33" i="12"/>
  <c r="W32" i="12"/>
  <c r="U32" i="12"/>
  <c r="T32" i="12"/>
  <c r="W31" i="12"/>
  <c r="U31" i="12"/>
  <c r="T31" i="12"/>
  <c r="U27" i="12"/>
  <c r="T27" i="12"/>
  <c r="U26" i="12"/>
  <c r="T26" i="12"/>
  <c r="AA22" i="12"/>
  <c r="AA21" i="12"/>
  <c r="U21" i="12"/>
  <c r="T21" i="12"/>
  <c r="AA20" i="12"/>
  <c r="U20" i="12"/>
  <c r="T20" i="12"/>
  <c r="AA19" i="12"/>
  <c r="U19" i="12"/>
  <c r="T19" i="12"/>
  <c r="AA18" i="12"/>
  <c r="U18" i="12"/>
  <c r="T18" i="12"/>
  <c r="AA17" i="12"/>
  <c r="U17" i="12"/>
  <c r="T17" i="12"/>
  <c r="AA16" i="12"/>
  <c r="U16" i="12"/>
  <c r="T16" i="12"/>
  <c r="AA15" i="12"/>
  <c r="U15" i="12"/>
  <c r="T15" i="12"/>
  <c r="AA14" i="12"/>
  <c r="T14" i="12"/>
  <c r="V14" i="12" s="1"/>
  <c r="X14" i="12" s="1"/>
  <c r="AA13" i="12"/>
  <c r="T13" i="12"/>
  <c r="V13" i="12" s="1"/>
  <c r="V7" i="12"/>
  <c r="V5" i="12"/>
  <c r="L36" i="12"/>
  <c r="F36" i="12"/>
  <c r="L35" i="12"/>
  <c r="F35" i="12"/>
  <c r="L34" i="12"/>
  <c r="F34" i="12"/>
  <c r="D34" i="12"/>
  <c r="L33" i="12"/>
  <c r="F33" i="12"/>
  <c r="E33" i="12"/>
  <c r="H32" i="12"/>
  <c r="F32" i="12"/>
  <c r="E32" i="12"/>
  <c r="H31" i="12"/>
  <c r="F31" i="12"/>
  <c r="E31" i="12"/>
  <c r="F27" i="12"/>
  <c r="E27" i="12"/>
  <c r="F26" i="12"/>
  <c r="E26" i="12"/>
  <c r="L22" i="12"/>
  <c r="L21" i="12"/>
  <c r="F21" i="12"/>
  <c r="L20" i="12"/>
  <c r="F20" i="12"/>
  <c r="L19" i="12"/>
  <c r="F19" i="12"/>
  <c r="L18" i="12"/>
  <c r="F18" i="12"/>
  <c r="E18" i="12"/>
  <c r="L17" i="12"/>
  <c r="F17" i="12"/>
  <c r="E17" i="12"/>
  <c r="L16" i="12"/>
  <c r="F16" i="12"/>
  <c r="E16" i="12"/>
  <c r="L15" i="12"/>
  <c r="F15" i="12"/>
  <c r="E15" i="12"/>
  <c r="L14" i="12"/>
  <c r="E14" i="12"/>
  <c r="G14" i="12" s="1"/>
  <c r="L13" i="12"/>
  <c r="E13" i="12"/>
  <c r="G13" i="12" s="1"/>
  <c r="G7" i="12"/>
  <c r="G5" i="12"/>
  <c r="I5" i="12" s="1"/>
  <c r="I33" i="12"/>
  <c r="E36" i="12"/>
  <c r="E17" i="11"/>
  <c r="P3" i="11" s="1"/>
  <c r="G81" i="12" l="1"/>
  <c r="G83" i="12" s="1"/>
  <c r="F45" i="24"/>
  <c r="AA38" i="20"/>
  <c r="AA32" i="20"/>
  <c r="AA27" i="20"/>
  <c r="AA23" i="20"/>
  <c r="AA19" i="20"/>
  <c r="AA15" i="20"/>
  <c r="AA37" i="20"/>
  <c r="AA31" i="20"/>
  <c r="AA26" i="20"/>
  <c r="AA22" i="20"/>
  <c r="AA18" i="20"/>
  <c r="AA14" i="20"/>
  <c r="AA39" i="20"/>
  <c r="AA28" i="20"/>
  <c r="AA20" i="20"/>
  <c r="AA36" i="20"/>
  <c r="AA25" i="20"/>
  <c r="AA17" i="20"/>
  <c r="AA35" i="20"/>
  <c r="AA16" i="20"/>
  <c r="AA40" i="20"/>
  <c r="AA30" i="20"/>
  <c r="AA24" i="20"/>
  <c r="AA21" i="20"/>
  <c r="AA38" i="23"/>
  <c r="AA32" i="23"/>
  <c r="AA27" i="23"/>
  <c r="AA23" i="23"/>
  <c r="AA19" i="23"/>
  <c r="AA15" i="23"/>
  <c r="AA37" i="23"/>
  <c r="AA31" i="23"/>
  <c r="AA26" i="23"/>
  <c r="AA22" i="23"/>
  <c r="AA18" i="23"/>
  <c r="AA14" i="23"/>
  <c r="AA39" i="23"/>
  <c r="AA28" i="23"/>
  <c r="AA20" i="23"/>
  <c r="AA36" i="23"/>
  <c r="AA25" i="23"/>
  <c r="AA17" i="23"/>
  <c r="AA35" i="23"/>
  <c r="AA16" i="23"/>
  <c r="AA21" i="23"/>
  <c r="AA30" i="23"/>
  <c r="AA24" i="23"/>
  <c r="AA40" i="23"/>
  <c r="X42" i="24"/>
  <c r="AD125" i="12"/>
  <c r="AD121" i="12"/>
  <c r="AD115" i="12"/>
  <c r="AD110" i="12"/>
  <c r="AD106" i="12"/>
  <c r="AD102" i="12"/>
  <c r="AD124" i="12"/>
  <c r="AD120" i="12"/>
  <c r="AD113" i="12"/>
  <c r="AD109" i="12"/>
  <c r="AD105" i="12"/>
  <c r="AD101" i="12"/>
  <c r="AD122" i="12"/>
  <c r="AD111" i="12"/>
  <c r="AD103" i="12"/>
  <c r="AD117" i="12"/>
  <c r="AD108" i="12"/>
  <c r="AD100" i="12"/>
  <c r="AD116" i="12"/>
  <c r="AD99" i="12"/>
  <c r="AD123" i="12"/>
  <c r="AD112" i="12"/>
  <c r="AD107" i="12"/>
  <c r="AD104" i="12"/>
  <c r="AD42" i="22"/>
  <c r="Y40" i="22"/>
  <c r="Y36" i="22"/>
  <c r="Y30" i="22"/>
  <c r="Y25" i="22"/>
  <c r="Y21" i="22"/>
  <c r="Y17" i="22"/>
  <c r="Y39" i="22"/>
  <c r="Y35" i="22"/>
  <c r="Y28" i="22"/>
  <c r="Y24" i="22"/>
  <c r="Y20" i="22"/>
  <c r="Y16" i="22"/>
  <c r="Y38" i="22"/>
  <c r="Y27" i="22"/>
  <c r="Y19" i="22"/>
  <c r="Y23" i="22"/>
  <c r="Y31" i="22"/>
  <c r="Y14" i="22"/>
  <c r="Y37" i="22"/>
  <c r="Y26" i="22"/>
  <c r="Y18" i="22"/>
  <c r="Y32" i="22"/>
  <c r="Y15" i="22"/>
  <c r="Y22" i="22"/>
  <c r="AD263" i="12"/>
  <c r="AD259" i="12"/>
  <c r="AD253" i="12"/>
  <c r="AD248" i="12"/>
  <c r="AD244" i="12"/>
  <c r="AD240" i="12"/>
  <c r="AD262" i="12"/>
  <c r="AD258" i="12"/>
  <c r="AD251" i="12"/>
  <c r="AD247" i="12"/>
  <c r="AD243" i="12"/>
  <c r="AD239" i="12"/>
  <c r="AD260" i="12"/>
  <c r="AD249" i="12"/>
  <c r="AD241" i="12"/>
  <c r="AD254" i="12"/>
  <c r="AD245" i="12"/>
  <c r="AD237" i="12"/>
  <c r="AD255" i="12"/>
  <c r="AD246" i="12"/>
  <c r="AD238" i="12"/>
  <c r="AD242" i="12"/>
  <c r="AD261" i="12"/>
  <c r="AD250" i="12"/>
  <c r="Z42" i="22"/>
  <c r="AD171" i="12"/>
  <c r="AD167" i="12"/>
  <c r="AD161" i="12"/>
  <c r="AD156" i="12"/>
  <c r="AD152" i="12"/>
  <c r="AD148" i="12"/>
  <c r="AD170" i="12"/>
  <c r="AD166" i="12"/>
  <c r="AD159" i="12"/>
  <c r="AD155" i="12"/>
  <c r="AD151" i="12"/>
  <c r="AD147" i="12"/>
  <c r="AD168" i="12"/>
  <c r="AD157" i="12"/>
  <c r="AD149" i="12"/>
  <c r="AD162" i="12"/>
  <c r="AD153" i="12"/>
  <c r="AD163" i="12"/>
  <c r="AD154" i="12"/>
  <c r="AD146" i="12"/>
  <c r="AD145" i="12"/>
  <c r="AD150" i="12"/>
  <c r="AD169" i="12"/>
  <c r="AD158" i="12"/>
  <c r="O100" i="12"/>
  <c r="O104" i="12"/>
  <c r="O108" i="12"/>
  <c r="O112" i="12"/>
  <c r="O117" i="12"/>
  <c r="O123" i="12"/>
  <c r="O101" i="12"/>
  <c r="O105" i="12"/>
  <c r="O109" i="12"/>
  <c r="O113" i="12"/>
  <c r="O120" i="12"/>
  <c r="O124" i="12"/>
  <c r="O103" i="12"/>
  <c r="O111" i="12"/>
  <c r="O122" i="12"/>
  <c r="O106" i="12"/>
  <c r="O115" i="12"/>
  <c r="O125" i="12"/>
  <c r="O116" i="12"/>
  <c r="O110" i="12"/>
  <c r="O102" i="12"/>
  <c r="O121" i="12"/>
  <c r="O107" i="12"/>
  <c r="O99" i="12"/>
  <c r="O146" i="12"/>
  <c r="O150" i="12"/>
  <c r="O154" i="12"/>
  <c r="O158" i="12"/>
  <c r="O163" i="12"/>
  <c r="O169" i="12"/>
  <c r="O147" i="12"/>
  <c r="O151" i="12"/>
  <c r="O155" i="12"/>
  <c r="O159" i="12"/>
  <c r="O166" i="12"/>
  <c r="O170" i="12"/>
  <c r="O149" i="12"/>
  <c r="O157" i="12"/>
  <c r="O168" i="12"/>
  <c r="O152" i="12"/>
  <c r="O161" i="12"/>
  <c r="O171" i="12"/>
  <c r="O162" i="12"/>
  <c r="O148" i="12"/>
  <c r="O167" i="12"/>
  <c r="O153" i="12"/>
  <c r="O145" i="12"/>
  <c r="O156" i="12"/>
  <c r="O192" i="12"/>
  <c r="O196" i="12"/>
  <c r="O200" i="12"/>
  <c r="O204" i="12"/>
  <c r="O209" i="12"/>
  <c r="O215" i="12"/>
  <c r="O193" i="12"/>
  <c r="O197" i="12"/>
  <c r="O201" i="12"/>
  <c r="O205" i="12"/>
  <c r="O212" i="12"/>
  <c r="O216" i="12"/>
  <c r="O195" i="12"/>
  <c r="O203" i="12"/>
  <c r="O214" i="12"/>
  <c r="O199" i="12"/>
  <c r="O208" i="12"/>
  <c r="O191" i="12"/>
  <c r="O198" i="12"/>
  <c r="O207" i="12"/>
  <c r="O217" i="12"/>
  <c r="O213" i="12"/>
  <c r="O194" i="12"/>
  <c r="O202" i="12"/>
  <c r="AC221" i="12"/>
  <c r="AD217" i="12"/>
  <c r="AD213" i="12"/>
  <c r="AD207" i="12"/>
  <c r="AD202" i="12"/>
  <c r="AD198" i="12"/>
  <c r="AD194" i="12"/>
  <c r="AD216" i="12"/>
  <c r="AD212" i="12"/>
  <c r="AD205" i="12"/>
  <c r="AD201" i="12"/>
  <c r="AD197" i="12"/>
  <c r="AD193" i="12"/>
  <c r="AD214" i="12"/>
  <c r="AD203" i="12"/>
  <c r="AD195" i="12"/>
  <c r="AD208" i="12"/>
  <c r="AD199" i="12"/>
  <c r="AD191" i="12"/>
  <c r="AD209" i="12"/>
  <c r="AD200" i="12"/>
  <c r="AD192" i="12"/>
  <c r="AD204" i="12"/>
  <c r="AD196" i="12"/>
  <c r="AD215" i="12"/>
  <c r="E40" i="22"/>
  <c r="E40" i="23"/>
  <c r="V15" i="12"/>
  <c r="AC15" i="12" s="1"/>
  <c r="Z15" i="11" s="1"/>
  <c r="V19" i="12"/>
  <c r="AC19" i="12" s="1"/>
  <c r="Z19" i="11" s="1"/>
  <c r="M14" i="11"/>
  <c r="M16" i="11"/>
  <c r="M21" i="11"/>
  <c r="M13" i="11"/>
  <c r="M19" i="11"/>
  <c r="M20" i="11"/>
  <c r="M18" i="11"/>
  <c r="Q33" i="11"/>
  <c r="M17" i="11"/>
  <c r="M15" i="11"/>
  <c r="O7" i="11"/>
  <c r="AC32" i="20"/>
  <c r="AF32" i="20" s="1"/>
  <c r="V55" i="22"/>
  <c r="AD35" i="22"/>
  <c r="V54" i="22"/>
  <c r="AD30" i="22"/>
  <c r="AC129" i="12"/>
  <c r="N175" i="12"/>
  <c r="F46" i="23"/>
  <c r="Q5" i="20"/>
  <c r="V30" i="20"/>
  <c r="AI31" i="20"/>
  <c r="AC31" i="20"/>
  <c r="F46" i="20"/>
  <c r="X14" i="24"/>
  <c r="AD15" i="24"/>
  <c r="F46" i="22"/>
  <c r="F46" i="24"/>
  <c r="X35" i="24"/>
  <c r="N74" i="12"/>
  <c r="N69" i="12"/>
  <c r="N253" i="12"/>
  <c r="X32" i="23"/>
  <c r="X35" i="20"/>
  <c r="N53" i="12"/>
  <c r="X35" i="23"/>
  <c r="N129" i="12"/>
  <c r="N81" i="12"/>
  <c r="AC175" i="12"/>
  <c r="W55" i="22"/>
  <c r="W53" i="22"/>
  <c r="W54" i="22"/>
  <c r="V53" i="22"/>
  <c r="N258" i="12"/>
  <c r="X14" i="23"/>
  <c r="N237" i="12"/>
  <c r="N265" i="12"/>
  <c r="N221" i="12"/>
  <c r="V175" i="12"/>
  <c r="G175" i="12"/>
  <c r="G129" i="12"/>
  <c r="V129" i="12"/>
  <c r="V32" i="12"/>
  <c r="AC32" i="12" s="1"/>
  <c r="Z32" i="11" s="1"/>
  <c r="V27" i="12"/>
  <c r="AC27" i="12" s="1"/>
  <c r="Z27" i="11" s="1"/>
  <c r="V21" i="12"/>
  <c r="AC21" i="12" s="1"/>
  <c r="Z21" i="11" s="1"/>
  <c r="X30" i="24"/>
  <c r="AD30" i="24" s="1"/>
  <c r="M40" i="23"/>
  <c r="L40" i="23" s="1"/>
  <c r="M40" i="22"/>
  <c r="L40" i="22" s="1"/>
  <c r="W53" i="20"/>
  <c r="X30" i="20"/>
  <c r="V17" i="12"/>
  <c r="AC17" i="12" s="1"/>
  <c r="Z17" i="11" s="1"/>
  <c r="V26" i="12"/>
  <c r="X26" i="12" s="1"/>
  <c r="V20" i="12"/>
  <c r="AC20" i="12" s="1"/>
  <c r="Z20" i="11" s="1"/>
  <c r="V31" i="12"/>
  <c r="AC31" i="12" s="1"/>
  <c r="Z31" i="11" s="1"/>
  <c r="V16" i="12"/>
  <c r="AC16" i="12" s="1"/>
  <c r="Z16" i="11" s="1"/>
  <c r="X6" i="12"/>
  <c r="U7" i="12"/>
  <c r="V36" i="12"/>
  <c r="AC36" i="12" s="1"/>
  <c r="Z36" i="11" s="1"/>
  <c r="V33" i="12"/>
  <c r="AC33" i="12" s="1"/>
  <c r="Z33" i="11" s="1"/>
  <c r="V18" i="12"/>
  <c r="AC18" i="12" s="1"/>
  <c r="Z18" i="11" s="1"/>
  <c r="V8" i="12"/>
  <c r="T35" i="12" s="1"/>
  <c r="V35" i="12" s="1"/>
  <c r="AC35" i="12" s="1"/>
  <c r="Z35" i="11" s="1"/>
  <c r="V34" i="12"/>
  <c r="AC34" i="12" s="1"/>
  <c r="Z34" i="11" s="1"/>
  <c r="X13" i="12"/>
  <c r="AC13" i="12"/>
  <c r="Z13" i="11" s="1"/>
  <c r="X5" i="12"/>
  <c r="AC14" i="12"/>
  <c r="Z14" i="11" s="1"/>
  <c r="G8" i="12"/>
  <c r="E35" i="12" s="1"/>
  <c r="G35" i="12" s="1"/>
  <c r="N35" i="12" s="1"/>
  <c r="X35" i="11" s="1"/>
  <c r="G26" i="12"/>
  <c r="N26" i="12" s="1"/>
  <c r="X26" i="11" s="1"/>
  <c r="G27" i="12"/>
  <c r="N27" i="12" s="1"/>
  <c r="X27" i="11" s="1"/>
  <c r="G33" i="12"/>
  <c r="N33" i="12" s="1"/>
  <c r="X33" i="11" s="1"/>
  <c r="G31" i="12"/>
  <c r="N31" i="12" s="1"/>
  <c r="X31" i="11" s="1"/>
  <c r="G18" i="12"/>
  <c r="N18" i="12" s="1"/>
  <c r="X18" i="11" s="1"/>
  <c r="G36" i="12"/>
  <c r="N36" i="12" s="1"/>
  <c r="X36" i="11" s="1"/>
  <c r="G16" i="12"/>
  <c r="N16" i="12" s="1"/>
  <c r="X16" i="11" s="1"/>
  <c r="G17" i="12"/>
  <c r="N17" i="12" s="1"/>
  <c r="X17" i="11" s="1"/>
  <c r="G15" i="12"/>
  <c r="N15" i="12" s="1"/>
  <c r="X15" i="11" s="1"/>
  <c r="G32" i="12"/>
  <c r="N32" i="12" s="1"/>
  <c r="X32" i="11" s="1"/>
  <c r="I6" i="12"/>
  <c r="F7" i="12"/>
  <c r="N14" i="12"/>
  <c r="X14" i="11" s="1"/>
  <c r="I14" i="12"/>
  <c r="N13" i="12"/>
  <c r="X13" i="11" s="1"/>
  <c r="I13" i="12"/>
  <c r="E19" i="12"/>
  <c r="G19" i="12" s="1"/>
  <c r="N19" i="12" s="1"/>
  <c r="X19" i="11" s="1"/>
  <c r="E20" i="12"/>
  <c r="G20" i="12" s="1"/>
  <c r="N20" i="12" s="1"/>
  <c r="X20" i="11" s="1"/>
  <c r="E21" i="12"/>
  <c r="G21" i="12" s="1"/>
  <c r="N21" i="12" s="1"/>
  <c r="X21" i="11" s="1"/>
  <c r="E34" i="12"/>
  <c r="G34" i="12" s="1"/>
  <c r="N34" i="12" s="1"/>
  <c r="X34" i="11" s="1"/>
  <c r="O54" i="12" l="1"/>
  <c r="O58" i="12"/>
  <c r="O62" i="12"/>
  <c r="O66" i="12"/>
  <c r="O71" i="12"/>
  <c r="O77" i="12"/>
  <c r="O55" i="12"/>
  <c r="O59" i="12"/>
  <c r="O63" i="12"/>
  <c r="O67" i="12"/>
  <c r="O74" i="12"/>
  <c r="O78" i="12"/>
  <c r="O57" i="12"/>
  <c r="O65" i="12"/>
  <c r="O76" i="12"/>
  <c r="O60" i="12"/>
  <c r="O69" i="12"/>
  <c r="O79" i="12"/>
  <c r="O61" i="12"/>
  <c r="O53" i="12"/>
  <c r="O75" i="12"/>
  <c r="O64" i="12"/>
  <c r="O70" i="12"/>
  <c r="O56" i="12"/>
  <c r="AA38" i="22"/>
  <c r="AA32" i="22"/>
  <c r="AA27" i="22"/>
  <c r="AA23" i="22"/>
  <c r="AA19" i="22"/>
  <c r="AA15" i="22"/>
  <c r="AA37" i="22"/>
  <c r="AA31" i="22"/>
  <c r="AA26" i="22"/>
  <c r="AA22" i="22"/>
  <c r="AA18" i="22"/>
  <c r="AA14" i="22"/>
  <c r="AA39" i="22"/>
  <c r="AA28" i="22"/>
  <c r="AA20" i="22"/>
  <c r="AA36" i="22"/>
  <c r="AA25" i="22"/>
  <c r="AA17" i="22"/>
  <c r="AA24" i="22"/>
  <c r="AA40" i="22"/>
  <c r="AA21" i="22"/>
  <c r="AA35" i="22"/>
  <c r="AA16" i="22"/>
  <c r="AA30" i="22"/>
  <c r="O238" i="12"/>
  <c r="O242" i="12"/>
  <c r="O246" i="12"/>
  <c r="O250" i="12"/>
  <c r="O255" i="12"/>
  <c r="O261" i="12"/>
  <c r="O239" i="12"/>
  <c r="O243" i="12"/>
  <c r="O247" i="12"/>
  <c r="O251" i="12"/>
  <c r="O258" i="12"/>
  <c r="O262" i="12"/>
  <c r="O241" i="12"/>
  <c r="O249" i="12"/>
  <c r="O260" i="12"/>
  <c r="O245" i="12"/>
  <c r="O254" i="12"/>
  <c r="O237" i="12"/>
  <c r="O244" i="12"/>
  <c r="O253" i="12"/>
  <c r="O263" i="12"/>
  <c r="O240" i="12"/>
  <c r="O248" i="12"/>
  <c r="O259" i="12"/>
  <c r="Y38" i="24"/>
  <c r="Y35" i="24"/>
  <c r="Y30" i="24"/>
  <c r="Y14" i="24"/>
  <c r="Y22" i="24"/>
  <c r="Y27" i="24"/>
  <c r="Y39" i="24"/>
  <c r="Y24" i="24"/>
  <c r="Y15" i="24"/>
  <c r="Y19" i="24"/>
  <c r="Y16" i="24"/>
  <c r="Y28" i="24"/>
  <c r="Y26" i="24"/>
  <c r="Y17" i="24"/>
  <c r="Y23" i="24"/>
  <c r="Y36" i="24"/>
  <c r="Y40" i="24"/>
  <c r="Y31" i="24"/>
  <c r="Y32" i="24"/>
  <c r="Y25" i="24"/>
  <c r="Y20" i="24"/>
  <c r="Y18" i="24"/>
  <c r="Y37" i="24"/>
  <c r="Y21" i="24"/>
  <c r="AE32" i="20"/>
  <c r="X30" i="23"/>
  <c r="AD32" i="23"/>
  <c r="V53" i="23"/>
  <c r="AD14" i="23"/>
  <c r="V55" i="23"/>
  <c r="AD35" i="23"/>
  <c r="V55" i="20"/>
  <c r="AD35" i="20"/>
  <c r="V54" i="20"/>
  <c r="AD30" i="20"/>
  <c r="AI30" i="20"/>
  <c r="AC30" i="20"/>
  <c r="AG32" i="20"/>
  <c r="AH32" i="20"/>
  <c r="AL32" i="20" s="1"/>
  <c r="AE31" i="20"/>
  <c r="AF31" i="20"/>
  <c r="V55" i="24"/>
  <c r="AD35" i="24"/>
  <c r="AD42" i="24"/>
  <c r="AD14" i="24"/>
  <c r="X42" i="23"/>
  <c r="N83" i="12"/>
  <c r="N267" i="12"/>
  <c r="X27" i="12"/>
  <c r="AC26" i="12"/>
  <c r="Z26" i="11" s="1"/>
  <c r="V53" i="24"/>
  <c r="S22" i="12"/>
  <c r="T22" i="12" s="1"/>
  <c r="V22" i="12" s="1"/>
  <c r="V38" i="12" s="1"/>
  <c r="V39" i="12" s="1"/>
  <c r="V54" i="24"/>
  <c r="X14" i="20"/>
  <c r="AD14" i="20" s="1"/>
  <c r="X42" i="20"/>
  <c r="I27" i="12"/>
  <c r="X18" i="12"/>
  <c r="S35" i="12"/>
  <c r="AC30" i="12"/>
  <c r="D35" i="12"/>
  <c r="N25" i="12"/>
  <c r="I26" i="12"/>
  <c r="I18" i="12"/>
  <c r="N30" i="12"/>
  <c r="D22" i="12"/>
  <c r="E22" i="12" s="1"/>
  <c r="G22" i="12" s="1"/>
  <c r="AD42" i="20" l="1"/>
  <c r="Y40" i="20"/>
  <c r="Y36" i="20"/>
  <c r="Y30" i="20"/>
  <c r="Y25" i="20"/>
  <c r="Y21" i="20"/>
  <c r="Y17" i="20"/>
  <c r="Y39" i="20"/>
  <c r="Y35" i="20"/>
  <c r="Y28" i="20"/>
  <c r="Y24" i="20"/>
  <c r="Y20" i="20"/>
  <c r="Y16" i="20"/>
  <c r="Y38" i="20"/>
  <c r="Y27" i="20"/>
  <c r="Y19" i="20"/>
  <c r="Y23" i="20"/>
  <c r="Y15" i="20"/>
  <c r="Y22" i="20"/>
  <c r="Y37" i="20"/>
  <c r="Y26" i="20"/>
  <c r="Y18" i="20"/>
  <c r="Y32" i="20"/>
  <c r="Y31" i="20"/>
  <c r="Y14" i="20"/>
  <c r="Y40" i="23"/>
  <c r="Y36" i="23"/>
  <c r="Y30" i="23"/>
  <c r="Y25" i="23"/>
  <c r="Y21" i="23"/>
  <c r="Y17" i="23"/>
  <c r="Y39" i="23"/>
  <c r="Y35" i="23"/>
  <c r="Y28" i="23"/>
  <c r="Y24" i="23"/>
  <c r="Y20" i="23"/>
  <c r="Y16" i="23"/>
  <c r="Y38" i="23"/>
  <c r="Y27" i="23"/>
  <c r="Y19" i="23"/>
  <c r="Y22" i="23"/>
  <c r="Y37" i="23"/>
  <c r="Y26" i="23"/>
  <c r="Y18" i="23"/>
  <c r="Y32" i="23"/>
  <c r="Y23" i="23"/>
  <c r="Y15" i="23"/>
  <c r="Y31" i="23"/>
  <c r="Y14" i="23"/>
  <c r="AD42" i="23"/>
  <c r="V54" i="23"/>
  <c r="AD30" i="23"/>
  <c r="AE30" i="20"/>
  <c r="AF30" i="20"/>
  <c r="AH31" i="20"/>
  <c r="AL31" i="20" s="1"/>
  <c r="AG31" i="20"/>
  <c r="AC25" i="12"/>
  <c r="AC22" i="12"/>
  <c r="Z22" i="11" s="1"/>
  <c r="V53" i="20"/>
  <c r="N22" i="12"/>
  <c r="N12" i="12" s="1"/>
  <c r="G38" i="12"/>
  <c r="G39" i="12" s="1"/>
  <c r="L39" i="18"/>
  <c r="M39" i="18" s="1"/>
  <c r="T20" i="18"/>
  <c r="AK20" i="18" s="1"/>
  <c r="T21" i="18"/>
  <c r="AK21" i="18" s="1"/>
  <c r="T22" i="18"/>
  <c r="AK22" i="18" s="1"/>
  <c r="T23" i="18"/>
  <c r="AK23" i="18" s="1"/>
  <c r="T24" i="18"/>
  <c r="AK24" i="18" s="1"/>
  <c r="T25" i="18"/>
  <c r="AK25" i="18" s="1"/>
  <c r="T26" i="18"/>
  <c r="AK26" i="18" s="1"/>
  <c r="T27" i="18"/>
  <c r="AK27" i="18" s="1"/>
  <c r="T28" i="18"/>
  <c r="AK28" i="18" s="1"/>
  <c r="T16" i="18"/>
  <c r="AK16" i="18" s="1"/>
  <c r="T17" i="18"/>
  <c r="AK17" i="18" s="1"/>
  <c r="T18" i="18"/>
  <c r="AK18" i="18" s="1"/>
  <c r="T19" i="18"/>
  <c r="AK19" i="18" s="1"/>
  <c r="T15" i="18"/>
  <c r="AK15" i="18" s="1"/>
  <c r="F34" i="18"/>
  <c r="E34" i="18"/>
  <c r="G34" i="18" s="1"/>
  <c r="F33" i="18"/>
  <c r="E33" i="18"/>
  <c r="G33" i="18" s="1"/>
  <c r="F32" i="18"/>
  <c r="E32" i="18"/>
  <c r="F29" i="18"/>
  <c r="E29" i="18"/>
  <c r="F28" i="18"/>
  <c r="E28" i="18"/>
  <c r="F27" i="18"/>
  <c r="E27" i="18"/>
  <c r="E22" i="18"/>
  <c r="E21" i="18"/>
  <c r="E20" i="18"/>
  <c r="E19" i="18"/>
  <c r="E18" i="18"/>
  <c r="E17" i="18"/>
  <c r="E11" i="18"/>
  <c r="F10" i="18"/>
  <c r="E10" i="18"/>
  <c r="F9" i="18"/>
  <c r="E9" i="18"/>
  <c r="F8" i="18"/>
  <c r="F7" i="18"/>
  <c r="F6" i="18"/>
  <c r="F5" i="18"/>
  <c r="E5" i="18"/>
  <c r="L34" i="11"/>
  <c r="M27" i="11"/>
  <c r="P32" i="11"/>
  <c r="P31" i="11"/>
  <c r="X25" i="11"/>
  <c r="Z25" i="11"/>
  <c r="Z30" i="11"/>
  <c r="X30" i="11"/>
  <c r="F34" i="11"/>
  <c r="E34" i="11"/>
  <c r="F33" i="11"/>
  <c r="E33" i="11"/>
  <c r="F32" i="11"/>
  <c r="E32" i="11"/>
  <c r="E28" i="11"/>
  <c r="F28" i="11"/>
  <c r="E29" i="11"/>
  <c r="F29" i="11"/>
  <c r="F27" i="11"/>
  <c r="E27" i="11"/>
  <c r="E22" i="11"/>
  <c r="E18" i="11"/>
  <c r="E19" i="11"/>
  <c r="E20" i="11"/>
  <c r="E21" i="11"/>
  <c r="F7" i="11"/>
  <c r="F10" i="11"/>
  <c r="F9" i="11"/>
  <c r="F8" i="11"/>
  <c r="F6" i="11"/>
  <c r="F5" i="11"/>
  <c r="E7" i="11"/>
  <c r="E9" i="11"/>
  <c r="E10" i="11"/>
  <c r="E11" i="11"/>
  <c r="E5" i="11"/>
  <c r="G32" i="11" l="1"/>
  <c r="G32" i="18"/>
  <c r="AH30" i="20"/>
  <c r="AL30" i="20" s="1"/>
  <c r="AG30" i="20"/>
  <c r="G29" i="11"/>
  <c r="AC12" i="12"/>
  <c r="AC38" i="12"/>
  <c r="K50" i="18"/>
  <c r="K52" i="18"/>
  <c r="K51" i="18"/>
  <c r="K49" i="18"/>
  <c r="N38" i="12"/>
  <c r="X22" i="11"/>
  <c r="G5" i="18"/>
  <c r="E16" i="18"/>
  <c r="E23" i="18" s="1"/>
  <c r="G29" i="18"/>
  <c r="G27" i="18"/>
  <c r="G28" i="18"/>
  <c r="G10" i="18"/>
  <c r="G7" i="18"/>
  <c r="M6" i="18" s="1"/>
  <c r="G9" i="18"/>
  <c r="G7" i="11"/>
  <c r="G28" i="11"/>
  <c r="G10" i="11"/>
  <c r="G27" i="11"/>
  <c r="G33" i="11"/>
  <c r="G34" i="11"/>
  <c r="E16" i="11"/>
  <c r="E23" i="11" s="1"/>
  <c r="O3" i="11" s="1"/>
  <c r="M36" i="11" s="1"/>
  <c r="G5" i="11"/>
  <c r="G9" i="11"/>
  <c r="O16" i="12" l="1"/>
  <c r="O20" i="12"/>
  <c r="O26" i="12"/>
  <c r="O32" i="12"/>
  <c r="O36" i="12"/>
  <c r="O13" i="12"/>
  <c r="O17" i="12"/>
  <c r="O21" i="12"/>
  <c r="O27" i="12"/>
  <c r="O33" i="12"/>
  <c r="O12" i="12"/>
  <c r="O19" i="12"/>
  <c r="O31" i="12"/>
  <c r="O14" i="12"/>
  <c r="O22" i="12"/>
  <c r="O34" i="12"/>
  <c r="O25" i="12"/>
  <c r="O18" i="12"/>
  <c r="O30" i="12"/>
  <c r="O15" i="12"/>
  <c r="O35" i="12"/>
  <c r="AD36" i="12"/>
  <c r="AD32" i="12"/>
  <c r="AD26" i="12"/>
  <c r="AD20" i="12"/>
  <c r="AD16" i="12"/>
  <c r="AD12" i="12"/>
  <c r="AD35" i="12"/>
  <c r="AD31" i="12"/>
  <c r="AD25" i="12"/>
  <c r="AD19" i="12"/>
  <c r="AD15" i="12"/>
  <c r="AD33" i="12"/>
  <c r="AD21" i="12"/>
  <c r="AD13" i="12"/>
  <c r="AD30" i="12"/>
  <c r="AD18" i="12"/>
  <c r="AD17" i="12"/>
  <c r="AD34" i="12"/>
  <c r="AD14" i="12"/>
  <c r="AD27" i="12"/>
  <c r="AD22" i="12"/>
  <c r="M32" i="11"/>
  <c r="M31" i="11"/>
  <c r="M33" i="11"/>
  <c r="M34" i="11"/>
  <c r="N6" i="18"/>
  <c r="O6" i="18" s="1"/>
  <c r="M5" i="18"/>
  <c r="AC39" i="12"/>
  <c r="Z39" i="11" s="1"/>
  <c r="AB46" i="11" s="1"/>
  <c r="N39" i="12"/>
  <c r="X39" i="11" s="1"/>
  <c r="Y46" i="11" s="1"/>
  <c r="N5" i="18" l="1"/>
  <c r="O5" i="18" s="1"/>
  <c r="V32" i="18"/>
  <c r="V31" i="18"/>
  <c r="E79" i="3"/>
  <c r="E65" i="3"/>
  <c r="G65" i="3" s="1"/>
  <c r="G64" i="3"/>
  <c r="I64" i="3" s="1"/>
  <c r="G63" i="3"/>
  <c r="I63" i="3" s="1"/>
  <c r="G62" i="3"/>
  <c r="I62" i="3" s="1"/>
  <c r="G61" i="3"/>
  <c r="I61" i="3" s="1"/>
  <c r="G60" i="3"/>
  <c r="I60" i="3" s="1"/>
  <c r="G59" i="3"/>
  <c r="I59" i="3" s="1"/>
  <c r="G58" i="3"/>
  <c r="I58" i="3" s="1"/>
  <c r="G57" i="3"/>
  <c r="I57" i="3" s="1"/>
  <c r="G56" i="3"/>
  <c r="I56" i="3" s="1"/>
  <c r="G55" i="3"/>
  <c r="I55" i="3" s="1"/>
  <c r="G43" i="3"/>
  <c r="I43" i="3" s="1"/>
  <c r="G44" i="3"/>
  <c r="I44" i="3" s="1"/>
  <c r="G45" i="3"/>
  <c r="I45" i="3" s="1"/>
  <c r="G46" i="3"/>
  <c r="I46" i="3" s="1"/>
  <c r="G47" i="3"/>
  <c r="I47" i="3" s="1"/>
  <c r="G48" i="3"/>
  <c r="I48" i="3" s="1"/>
  <c r="G49" i="3"/>
  <c r="I49" i="3" s="1"/>
  <c r="G50" i="3"/>
  <c r="I50" i="3" s="1"/>
  <c r="E51" i="3"/>
  <c r="G51" i="3" s="1"/>
  <c r="I51" i="3" s="1"/>
  <c r="O29" i="3"/>
  <c r="P29" i="3" s="1"/>
  <c r="K29" i="3"/>
  <c r="AI31" i="18" l="1"/>
  <c r="AC31" i="18"/>
  <c r="AC32" i="18"/>
  <c r="AI32" i="18"/>
  <c r="V30" i="18"/>
  <c r="E68" i="3"/>
  <c r="I65" i="3"/>
  <c r="I54" i="3" s="1"/>
  <c r="I27" i="3" s="1"/>
  <c r="E54" i="3"/>
  <c r="G54" i="3"/>
  <c r="E40" i="3"/>
  <c r="AF31" i="18" l="1"/>
  <c r="AE31" i="18"/>
  <c r="AC30" i="18"/>
  <c r="AI30" i="18"/>
  <c r="AE32" i="18"/>
  <c r="AF32" i="18"/>
  <c r="I28" i="22"/>
  <c r="I28" i="20"/>
  <c r="I28" i="24"/>
  <c r="I28" i="23"/>
  <c r="I28" i="18"/>
  <c r="I28" i="11"/>
  <c r="H54" i="3"/>
  <c r="H27" i="3"/>
  <c r="F54" i="3"/>
  <c r="O11" i="3"/>
  <c r="N11" i="3"/>
  <c r="M11" i="3"/>
  <c r="O10" i="3"/>
  <c r="N10" i="3"/>
  <c r="O9" i="3"/>
  <c r="N9" i="3"/>
  <c r="O7" i="3"/>
  <c r="M7" i="3"/>
  <c r="M10" i="3"/>
  <c r="M9" i="3"/>
  <c r="AH32" i="18" l="1"/>
  <c r="AL32" i="18" s="1"/>
  <c r="AG32" i="18"/>
  <c r="AH31" i="18"/>
  <c r="AL31" i="18" s="1"/>
  <c r="AG31" i="18"/>
  <c r="H28" i="22"/>
  <c r="H28" i="20"/>
  <c r="H28" i="24"/>
  <c r="H28" i="23"/>
  <c r="H28" i="11"/>
  <c r="H28" i="18"/>
  <c r="E16" i="3"/>
  <c r="L1" i="1" l="1"/>
  <c r="K1" i="18"/>
  <c r="K1" i="11"/>
  <c r="S1" i="17"/>
  <c r="L1" i="3"/>
  <c r="E44" i="17" l="1"/>
  <c r="E37" i="17"/>
  <c r="E30" i="17"/>
  <c r="E9" i="17"/>
  <c r="T55" i="18"/>
  <c r="T54" i="18"/>
  <c r="T53" i="18"/>
  <c r="W52" i="18"/>
  <c r="V52" i="18"/>
  <c r="U52" i="18"/>
  <c r="E44" i="1"/>
  <c r="I26" i="1"/>
  <c r="J26" i="1" s="1"/>
  <c r="O44" i="1" l="1"/>
  <c r="L47" i="1" s="1"/>
  <c r="I55" i="17"/>
  <c r="K55" i="17" s="1"/>
  <c r="I54" i="17"/>
  <c r="K54" i="17" s="1"/>
  <c r="I53" i="17"/>
  <c r="K53" i="17" s="1"/>
  <c r="I52" i="17"/>
  <c r="K52" i="17" s="1"/>
  <c r="I51" i="17"/>
  <c r="K51" i="17" s="1"/>
  <c r="E50" i="17"/>
  <c r="I50" i="17" l="1"/>
  <c r="F21" i="20" s="1"/>
  <c r="G21" i="20" s="1"/>
  <c r="L18" i="20" s="1"/>
  <c r="D45" i="1"/>
  <c r="G50" i="17"/>
  <c r="K50" i="17"/>
  <c r="F47" i="1"/>
  <c r="D46" i="1" s="1"/>
  <c r="P44" i="1"/>
  <c r="S47" i="12" s="1"/>
  <c r="V47" i="12" s="1"/>
  <c r="D47" i="1"/>
  <c r="S22" i="17"/>
  <c r="S10" i="17"/>
  <c r="S11" i="17"/>
  <c r="S12" i="17"/>
  <c r="S15" i="17"/>
  <c r="S16" i="17"/>
  <c r="S17" i="17"/>
  <c r="S20" i="17"/>
  <c r="S21" i="17"/>
  <c r="S25" i="17"/>
  <c r="S26" i="17"/>
  <c r="S27" i="17"/>
  <c r="N10" i="17"/>
  <c r="N11" i="17"/>
  <c r="N12" i="17"/>
  <c r="N15" i="17"/>
  <c r="N16" i="17"/>
  <c r="N17" i="17"/>
  <c r="N20" i="17"/>
  <c r="N21" i="17"/>
  <c r="N22" i="17"/>
  <c r="N25" i="17"/>
  <c r="N26" i="17"/>
  <c r="N27" i="17"/>
  <c r="M29" i="3"/>
  <c r="N29" i="3" s="1"/>
  <c r="L29" i="3"/>
  <c r="M25" i="3"/>
  <c r="N25" i="3" s="1"/>
  <c r="M24" i="3"/>
  <c r="N24" i="3" s="1"/>
  <c r="K28" i="3" s="1"/>
  <c r="K23" i="3"/>
  <c r="L23" i="3" s="1"/>
  <c r="E23" i="3"/>
  <c r="E43" i="17"/>
  <c r="E36" i="17"/>
  <c r="G36" i="17" s="1"/>
  <c r="I48" i="17"/>
  <c r="K48" i="17" s="1"/>
  <c r="I47" i="17"/>
  <c r="K47" i="17" s="1"/>
  <c r="I46" i="17"/>
  <c r="K46" i="17" s="1"/>
  <c r="I45" i="17"/>
  <c r="I44" i="17"/>
  <c r="K44" i="17" s="1"/>
  <c r="I41" i="17"/>
  <c r="K41" i="17" s="1"/>
  <c r="I40" i="17"/>
  <c r="K40" i="17" s="1"/>
  <c r="I39" i="17"/>
  <c r="K39" i="17" s="1"/>
  <c r="I38" i="17"/>
  <c r="I37" i="17"/>
  <c r="K37" i="17" s="1"/>
  <c r="I34" i="17"/>
  <c r="K34" i="17" s="1"/>
  <c r="I33" i="17"/>
  <c r="K33" i="17" s="1"/>
  <c r="I32" i="17"/>
  <c r="K32" i="17" s="1"/>
  <c r="I31" i="17"/>
  <c r="K31" i="17" s="1"/>
  <c r="I30" i="17"/>
  <c r="K30" i="17" s="1"/>
  <c r="E29" i="17"/>
  <c r="E7" i="17"/>
  <c r="E7" i="8" s="1"/>
  <c r="I27" i="17"/>
  <c r="I26" i="17"/>
  <c r="K26" i="17" s="1"/>
  <c r="I25" i="17"/>
  <c r="K25" i="17" s="1"/>
  <c r="G24" i="17"/>
  <c r="I22" i="17"/>
  <c r="K22" i="17" s="1"/>
  <c r="I21" i="17"/>
  <c r="K21" i="17" s="1"/>
  <c r="I20" i="17"/>
  <c r="G19" i="17"/>
  <c r="I17" i="17"/>
  <c r="K17" i="17" s="1"/>
  <c r="I16" i="17"/>
  <c r="I15" i="17"/>
  <c r="K15" i="17" s="1"/>
  <c r="G14" i="17"/>
  <c r="G9" i="17"/>
  <c r="I11" i="17"/>
  <c r="I12" i="17"/>
  <c r="K12" i="17" s="1"/>
  <c r="I10" i="17"/>
  <c r="K10" i="17" s="1"/>
  <c r="D5" i="16"/>
  <c r="E5" i="16" s="1"/>
  <c r="B5" i="16"/>
  <c r="T13" i="16" s="1"/>
  <c r="E5" i="15"/>
  <c r="H38" i="1"/>
  <c r="F20" i="1"/>
  <c r="B5" i="14" s="1"/>
  <c r="E7" i="14" s="1"/>
  <c r="H32" i="1"/>
  <c r="M20" i="1"/>
  <c r="E38" i="1"/>
  <c r="E32" i="1"/>
  <c r="E20" i="1"/>
  <c r="E26" i="1" s="1"/>
  <c r="O26" i="1" s="1"/>
  <c r="E14" i="16"/>
  <c r="F14" i="16" s="1"/>
  <c r="E14" i="15"/>
  <c r="F14" i="15" s="1"/>
  <c r="E18" i="14"/>
  <c r="E16" i="14"/>
  <c r="C14" i="14"/>
  <c r="H14" i="14" s="1"/>
  <c r="E17" i="14" s="1"/>
  <c r="E9" i="14"/>
  <c r="H5" i="14"/>
  <c r="E8" i="14" s="1"/>
  <c r="F21" i="23" l="1"/>
  <c r="G21" i="23" s="1"/>
  <c r="L18" i="23" s="1"/>
  <c r="F21" i="11"/>
  <c r="G21" i="11" s="1"/>
  <c r="F21" i="22"/>
  <c r="G21" i="22" s="1"/>
  <c r="L18" i="22" s="1"/>
  <c r="H50" i="17"/>
  <c r="P37" i="25" s="1"/>
  <c r="F21" i="24"/>
  <c r="G21" i="24" s="1"/>
  <c r="L18" i="24" s="1"/>
  <c r="J50" i="17"/>
  <c r="Q37" i="25" s="1"/>
  <c r="F21" i="18"/>
  <c r="G21" i="18" s="1"/>
  <c r="L18" i="18" s="1"/>
  <c r="F21" i="3"/>
  <c r="G21" i="3" s="1"/>
  <c r="C37" i="29"/>
  <c r="J14" i="16"/>
  <c r="K14" i="16" s="1"/>
  <c r="E16" i="16" s="1"/>
  <c r="E18" i="16" s="1"/>
  <c r="G32" i="1"/>
  <c r="C5" i="15" s="1"/>
  <c r="F5" i="15" s="1"/>
  <c r="G5" i="15" s="1"/>
  <c r="G38" i="1"/>
  <c r="C5" i="16" s="1"/>
  <c r="F5" i="16" s="1"/>
  <c r="G5" i="16" s="1"/>
  <c r="E19" i="14"/>
  <c r="I29" i="17"/>
  <c r="F18" i="24" s="1"/>
  <c r="G18" i="24" s="1"/>
  <c r="L15" i="24" s="1"/>
  <c r="H21" i="22"/>
  <c r="I21" i="22" s="1"/>
  <c r="H21" i="20"/>
  <c r="I21" i="20" s="1"/>
  <c r="H21" i="24"/>
  <c r="I21" i="24" s="1"/>
  <c r="H21" i="23"/>
  <c r="I21" i="23" s="1"/>
  <c r="H21" i="11"/>
  <c r="I21" i="11" s="1"/>
  <c r="H21" i="18"/>
  <c r="I21" i="18" s="1"/>
  <c r="H21" i="3"/>
  <c r="I21" i="3" s="1"/>
  <c r="E10" i="14"/>
  <c r="O20" i="1" s="1"/>
  <c r="L23" i="1" s="1"/>
  <c r="X47" i="12"/>
  <c r="V48" i="12"/>
  <c r="O47" i="1"/>
  <c r="G7" i="17"/>
  <c r="G7" i="8" s="1"/>
  <c r="I36" i="17"/>
  <c r="G35" i="25" s="1"/>
  <c r="H35" i="25" s="1"/>
  <c r="I43" i="17"/>
  <c r="G36" i="25" s="1"/>
  <c r="H36" i="25" s="1"/>
  <c r="G43" i="17"/>
  <c r="G29" i="17"/>
  <c r="G34" i="25" s="1"/>
  <c r="H34" i="25" s="1"/>
  <c r="K29" i="17"/>
  <c r="E8" i="3"/>
  <c r="K11" i="17"/>
  <c r="K9" i="17" s="1"/>
  <c r="K45" i="17"/>
  <c r="K43" i="17" s="1"/>
  <c r="K38" i="17"/>
  <c r="K36" i="17" s="1"/>
  <c r="I24" i="17"/>
  <c r="I19" i="17"/>
  <c r="K20" i="17"/>
  <c r="K19" i="17" s="1"/>
  <c r="I9" i="17"/>
  <c r="I14" i="17"/>
  <c r="K27" i="17"/>
  <c r="K24" i="17" s="1"/>
  <c r="K16" i="17"/>
  <c r="K14" i="17" s="1"/>
  <c r="J14" i="15"/>
  <c r="K14" i="15" s="1"/>
  <c r="E16" i="15" s="1"/>
  <c r="E18" i="15" s="1"/>
  <c r="F14" i="14"/>
  <c r="E40" i="29" l="1"/>
  <c r="E39" i="29"/>
  <c r="H20" i="23"/>
  <c r="I20" i="23" s="1"/>
  <c r="H20" i="11"/>
  <c r="I20" i="11" s="1"/>
  <c r="H20" i="20"/>
  <c r="I20" i="20" s="1"/>
  <c r="H20" i="3"/>
  <c r="I20" i="3" s="1"/>
  <c r="H20" i="24"/>
  <c r="I20" i="24" s="1"/>
  <c r="H20" i="22"/>
  <c r="I20" i="22" s="1"/>
  <c r="H20" i="18"/>
  <c r="I20" i="18" s="1"/>
  <c r="J24" i="17"/>
  <c r="S24" i="17" s="1"/>
  <c r="G42" i="22"/>
  <c r="G44" i="22" s="1"/>
  <c r="G42" i="23"/>
  <c r="G44" i="23" s="1"/>
  <c r="G42" i="20"/>
  <c r="G44" i="20" s="1"/>
  <c r="G42" i="18"/>
  <c r="G44" i="18" s="1"/>
  <c r="X82" i="12"/>
  <c r="G40" i="24"/>
  <c r="G42" i="24" s="1"/>
  <c r="G44" i="24" s="1"/>
  <c r="F18" i="20"/>
  <c r="G18" i="20" s="1"/>
  <c r="L15" i="20" s="1"/>
  <c r="P14" i="17"/>
  <c r="AB14" i="17"/>
  <c r="X14" i="17"/>
  <c r="T14" i="17"/>
  <c r="R14" i="17"/>
  <c r="V14" i="17"/>
  <c r="U14" i="17"/>
  <c r="O14" i="17"/>
  <c r="AA14" i="17"/>
  <c r="W14" i="17"/>
  <c r="Z14" i="17"/>
  <c r="Q14" i="17"/>
  <c r="Y14" i="17"/>
  <c r="P24" i="17"/>
  <c r="Z24" i="17"/>
  <c r="V24" i="17"/>
  <c r="R24" i="17"/>
  <c r="X24" i="17"/>
  <c r="AA24" i="17"/>
  <c r="O24" i="17"/>
  <c r="Y24" i="17"/>
  <c r="U24" i="17"/>
  <c r="AB24" i="17"/>
  <c r="T24" i="17"/>
  <c r="Q24" i="17"/>
  <c r="W24" i="17"/>
  <c r="F18" i="3"/>
  <c r="F18" i="23"/>
  <c r="G18" i="23" s="1"/>
  <c r="L15" i="23" s="1"/>
  <c r="F18" i="11"/>
  <c r="P19" i="17"/>
  <c r="AA19" i="17"/>
  <c r="W19" i="17"/>
  <c r="U19" i="17"/>
  <c r="Q19" i="17"/>
  <c r="X19" i="17"/>
  <c r="O19" i="17"/>
  <c r="Z19" i="17"/>
  <c r="V19" i="17"/>
  <c r="R19" i="17"/>
  <c r="Y19" i="17"/>
  <c r="AB19" i="17"/>
  <c r="T19" i="17"/>
  <c r="F18" i="18"/>
  <c r="G18" i="18" s="1"/>
  <c r="L15" i="18" s="1"/>
  <c r="F18" i="22"/>
  <c r="G18" i="22" s="1"/>
  <c r="L15" i="22" s="1"/>
  <c r="H24" i="17"/>
  <c r="N24" i="17" s="1"/>
  <c r="T79" i="12"/>
  <c r="H43" i="17"/>
  <c r="P36" i="25" s="1"/>
  <c r="U9" i="17"/>
  <c r="AB9" i="17"/>
  <c r="T9" i="17"/>
  <c r="AA9" i="17"/>
  <c r="R9" i="17"/>
  <c r="Z9" i="17"/>
  <c r="Q9" i="17"/>
  <c r="Y9" i="17"/>
  <c r="P9" i="17"/>
  <c r="V9" i="17"/>
  <c r="X9" i="17"/>
  <c r="O9" i="17"/>
  <c r="W9" i="17"/>
  <c r="H19" i="3"/>
  <c r="I19" i="3" s="1"/>
  <c r="H19" i="20"/>
  <c r="I19" i="20" s="1"/>
  <c r="H19" i="24"/>
  <c r="I19" i="24" s="1"/>
  <c r="H19" i="23"/>
  <c r="I19" i="23" s="1"/>
  <c r="H19" i="22"/>
  <c r="I19" i="22" s="1"/>
  <c r="H19" i="11"/>
  <c r="I19" i="11" s="1"/>
  <c r="H19" i="18"/>
  <c r="I19" i="18" s="1"/>
  <c r="H11" i="23"/>
  <c r="H11" i="22"/>
  <c r="H11" i="24"/>
  <c r="H11" i="20"/>
  <c r="H18" i="11"/>
  <c r="I18" i="11" s="1"/>
  <c r="H18" i="20"/>
  <c r="I18" i="20" s="1"/>
  <c r="H18" i="24"/>
  <c r="I18" i="24" s="1"/>
  <c r="H18" i="23"/>
  <c r="I18" i="23" s="1"/>
  <c r="H18" i="22"/>
  <c r="I18" i="22" s="1"/>
  <c r="H18" i="18"/>
  <c r="I18" i="18" s="1"/>
  <c r="F20" i="20"/>
  <c r="G20" i="20" s="1"/>
  <c r="L17" i="20" s="1"/>
  <c r="F20" i="22"/>
  <c r="G20" i="22" s="1"/>
  <c r="L17" i="22" s="1"/>
  <c r="F20" i="24"/>
  <c r="G20" i="24" s="1"/>
  <c r="L17" i="24" s="1"/>
  <c r="F20" i="23"/>
  <c r="G20" i="23" s="1"/>
  <c r="L17" i="23" s="1"/>
  <c r="F20" i="18"/>
  <c r="G20" i="18" s="1"/>
  <c r="L17" i="18" s="1"/>
  <c r="F20" i="11"/>
  <c r="F19" i="3"/>
  <c r="G19" i="3" s="1"/>
  <c r="F19" i="22"/>
  <c r="G19" i="22" s="1"/>
  <c r="L16" i="22" s="1"/>
  <c r="F19" i="24"/>
  <c r="G19" i="24" s="1"/>
  <c r="L16" i="24" s="1"/>
  <c r="F19" i="20"/>
  <c r="G19" i="20" s="1"/>
  <c r="L16" i="20" s="1"/>
  <c r="F19" i="23"/>
  <c r="G19" i="23" s="1"/>
  <c r="L16" i="23" s="1"/>
  <c r="F19" i="11"/>
  <c r="F19" i="18"/>
  <c r="G19" i="18" s="1"/>
  <c r="L16" i="18" s="1"/>
  <c r="E8" i="20"/>
  <c r="E8" i="23"/>
  <c r="E8" i="22"/>
  <c r="E8" i="24"/>
  <c r="H11" i="11"/>
  <c r="H11" i="18"/>
  <c r="E8" i="18"/>
  <c r="E8" i="11"/>
  <c r="K24" i="3"/>
  <c r="L24" i="3" s="1"/>
  <c r="K26" i="3" s="1"/>
  <c r="O30" i="3"/>
  <c r="P30" i="3" s="1"/>
  <c r="K33" i="3" s="1"/>
  <c r="M30" i="3"/>
  <c r="N30" i="3" s="1"/>
  <c r="K32" i="3" s="1"/>
  <c r="O8" i="3"/>
  <c r="N8" i="3"/>
  <c r="M8" i="3"/>
  <c r="J36" i="17"/>
  <c r="Q35" i="25" s="1"/>
  <c r="H36" i="17"/>
  <c r="P35" i="25" s="1"/>
  <c r="P47" i="1"/>
  <c r="H11" i="3"/>
  <c r="G8" i="3"/>
  <c r="J29" i="17"/>
  <c r="H18" i="3"/>
  <c r="I18" i="3" s="1"/>
  <c r="F23" i="1"/>
  <c r="D22" i="1" s="1"/>
  <c r="D21" i="1"/>
  <c r="J43" i="17"/>
  <c r="Q36" i="25" s="1"/>
  <c r="F20" i="3"/>
  <c r="G20" i="3" s="1"/>
  <c r="H29" i="17"/>
  <c r="P34" i="25" s="1"/>
  <c r="J19" i="17"/>
  <c r="H19" i="17"/>
  <c r="N19" i="17" s="1"/>
  <c r="J14" i="17"/>
  <c r="S14" i="17" s="1"/>
  <c r="H14" i="17"/>
  <c r="N14" i="17" s="1"/>
  <c r="K7" i="17"/>
  <c r="K7" i="8" s="1"/>
  <c r="J9" i="17"/>
  <c r="S9" i="17" s="1"/>
  <c r="I7" i="17"/>
  <c r="H9" i="17"/>
  <c r="N9" i="17" s="1"/>
  <c r="AB7" i="17" l="1"/>
  <c r="AB7" i="8" s="1"/>
  <c r="T7" i="17"/>
  <c r="T7" i="8" s="1"/>
  <c r="Z7" i="17"/>
  <c r="Z7" i="8" s="1"/>
  <c r="Y7" i="17"/>
  <c r="Y7" i="8" s="1"/>
  <c r="X7" i="17"/>
  <c r="X7" i="8" s="1"/>
  <c r="W7" i="17"/>
  <c r="W7" i="8" s="1"/>
  <c r="AA7" i="17"/>
  <c r="AA7" i="8" s="1"/>
  <c r="R7" i="17"/>
  <c r="R7" i="8" s="1"/>
  <c r="Q7" i="17"/>
  <c r="Q7" i="8" s="1"/>
  <c r="P7" i="17"/>
  <c r="P7" i="8" s="1"/>
  <c r="O7" i="17"/>
  <c r="O7" i="8" s="1"/>
  <c r="V7" i="17"/>
  <c r="V7" i="8" s="1"/>
  <c r="U7" i="17"/>
  <c r="U7" i="8" s="1"/>
  <c r="G18" i="11"/>
  <c r="C13" i="29"/>
  <c r="G20" i="11"/>
  <c r="C29" i="29"/>
  <c r="G19" i="11"/>
  <c r="C21" i="29"/>
  <c r="G33" i="25"/>
  <c r="H33" i="25" s="1"/>
  <c r="I7" i="8"/>
  <c r="S19" i="17"/>
  <c r="I32" i="3"/>
  <c r="I33" i="11" s="1"/>
  <c r="Q34" i="25"/>
  <c r="AC75" i="12"/>
  <c r="AC70" i="12"/>
  <c r="AC64" i="12"/>
  <c r="AC76" i="12"/>
  <c r="AC77" i="12"/>
  <c r="AC62" i="12"/>
  <c r="AC66" i="12"/>
  <c r="AC65" i="12"/>
  <c r="X53" i="12"/>
  <c r="AA84" i="12" s="1"/>
  <c r="AC57" i="12"/>
  <c r="AC78" i="12"/>
  <c r="AC54" i="12"/>
  <c r="AC58" i="12"/>
  <c r="AC56" i="12"/>
  <c r="AC67" i="12"/>
  <c r="AC71" i="12"/>
  <c r="AC61" i="12"/>
  <c r="AC63" i="12"/>
  <c r="AC55" i="12"/>
  <c r="AC59" i="12"/>
  <c r="AC60" i="12"/>
  <c r="S79" i="12"/>
  <c r="V79" i="12"/>
  <c r="I11" i="23"/>
  <c r="I11" i="20"/>
  <c r="I11" i="24"/>
  <c r="I11" i="22"/>
  <c r="G8" i="23"/>
  <c r="G8" i="24"/>
  <c r="G8" i="22"/>
  <c r="G8" i="20"/>
  <c r="I11" i="3"/>
  <c r="I11" i="11"/>
  <c r="I11" i="18"/>
  <c r="G8" i="11"/>
  <c r="G8" i="18"/>
  <c r="F17" i="3"/>
  <c r="H17" i="3"/>
  <c r="I17" i="3" s="1"/>
  <c r="J7" i="17"/>
  <c r="H7" i="17"/>
  <c r="H7" i="8" s="1"/>
  <c r="E23" i="29" l="1"/>
  <c r="E24" i="29"/>
  <c r="E32" i="29"/>
  <c r="E31" i="29"/>
  <c r="E15" i="29"/>
  <c r="E16" i="29"/>
  <c r="R18" i="3"/>
  <c r="R14" i="3" s="1"/>
  <c r="G21" i="8"/>
  <c r="H21" i="8" s="1"/>
  <c r="Q33" i="25"/>
  <c r="J7" i="8"/>
  <c r="G46" i="23"/>
  <c r="G46" i="22"/>
  <c r="G46" i="20"/>
  <c r="G45" i="24"/>
  <c r="G46" i="24" s="1"/>
  <c r="G46" i="18"/>
  <c r="I33" i="18"/>
  <c r="I33" i="23"/>
  <c r="I33" i="22"/>
  <c r="I33" i="20"/>
  <c r="I33" i="24"/>
  <c r="Q48" i="25"/>
  <c r="N7" i="17"/>
  <c r="N7" i="8" s="1"/>
  <c r="P33" i="25"/>
  <c r="Z26" i="24"/>
  <c r="AC79" i="12"/>
  <c r="AC81" i="12" s="1"/>
  <c r="V81" i="12"/>
  <c r="V83" i="12" s="1"/>
  <c r="Z28" i="24"/>
  <c r="Z27" i="24"/>
  <c r="Z32" i="24"/>
  <c r="Z17" i="24"/>
  <c r="Z23" i="24"/>
  <c r="Z21" i="24"/>
  <c r="Z19" i="24"/>
  <c r="Z38" i="24"/>
  <c r="Z20" i="24"/>
  <c r="Z15" i="24"/>
  <c r="AC53" i="12"/>
  <c r="Z37" i="24"/>
  <c r="Z16" i="24"/>
  <c r="Z39" i="24"/>
  <c r="Z25" i="24"/>
  <c r="Z24" i="24"/>
  <c r="Z18" i="24"/>
  <c r="Z31" i="24"/>
  <c r="AC69" i="12"/>
  <c r="Z22" i="24"/>
  <c r="Z36" i="24"/>
  <c r="K25" i="3"/>
  <c r="L25" i="3" s="1"/>
  <c r="K27" i="3" s="1"/>
  <c r="K30" i="3"/>
  <c r="L30" i="3" s="1"/>
  <c r="K31" i="3" s="1"/>
  <c r="S7" i="17"/>
  <c r="S7" i="8" s="1"/>
  <c r="I33" i="3"/>
  <c r="I31" i="3"/>
  <c r="D23" i="1"/>
  <c r="Q46" i="25" l="1"/>
  <c r="D41" i="29" s="1"/>
  <c r="Q45" i="25"/>
  <c r="D33" i="29" s="1"/>
  <c r="Q44" i="25"/>
  <c r="D25" i="29" s="1"/>
  <c r="Q43" i="25"/>
  <c r="AD76" i="12"/>
  <c r="AD65" i="12"/>
  <c r="AD57" i="12"/>
  <c r="AD66" i="12"/>
  <c r="AD75" i="12"/>
  <c r="AD64" i="12"/>
  <c r="AD56" i="12"/>
  <c r="AD63" i="12"/>
  <c r="AD55" i="12"/>
  <c r="AD71" i="12"/>
  <c r="AD62" i="12"/>
  <c r="AD54" i="12"/>
  <c r="AD70" i="12"/>
  <c r="AD61" i="12"/>
  <c r="AD53" i="12"/>
  <c r="AD77" i="12"/>
  <c r="AD79" i="12"/>
  <c r="AD69" i="12"/>
  <c r="AD60" i="12"/>
  <c r="AD78" i="12"/>
  <c r="AD67" i="12"/>
  <c r="AD59" i="12"/>
  <c r="AD58" i="12"/>
  <c r="AC74" i="12"/>
  <c r="AD74" i="12" s="1"/>
  <c r="AC83" i="12"/>
  <c r="Z30" i="24"/>
  <c r="Z14" i="24"/>
  <c r="Z40" i="24"/>
  <c r="Z35" i="24" s="1"/>
  <c r="Q6" i="20"/>
  <c r="I32" i="24"/>
  <c r="I32" i="20"/>
  <c r="I32" i="23"/>
  <c r="I32" i="22"/>
  <c r="I34" i="23"/>
  <c r="I34" i="24"/>
  <c r="I34" i="22"/>
  <c r="I34" i="20"/>
  <c r="Q6" i="24"/>
  <c r="I32" i="11"/>
  <c r="I32" i="18"/>
  <c r="I34" i="11"/>
  <c r="I34" i="18"/>
  <c r="O23" i="1"/>
  <c r="Q42" i="25" l="1"/>
  <c r="D9" i="29" s="1"/>
  <c r="D17" i="29"/>
  <c r="Z42" i="24"/>
  <c r="W55" i="24"/>
  <c r="W54" i="24"/>
  <c r="W53" i="24"/>
  <c r="H7" i="24"/>
  <c r="H7" i="20"/>
  <c r="H7" i="23"/>
  <c r="H7" i="22"/>
  <c r="I35" i="23"/>
  <c r="I35" i="20"/>
  <c r="I35" i="22"/>
  <c r="I35" i="24"/>
  <c r="H7" i="3"/>
  <c r="H7" i="11"/>
  <c r="H7" i="18"/>
  <c r="I35" i="18"/>
  <c r="I35" i="11"/>
  <c r="P23" i="1"/>
  <c r="Z12" i="11"/>
  <c r="X12" i="11"/>
  <c r="T21" i="11"/>
  <c r="AD21" i="11" s="1"/>
  <c r="T14" i="11"/>
  <c r="AD14" i="11" s="1"/>
  <c r="T15" i="11"/>
  <c r="AD15" i="11" s="1"/>
  <c r="T16" i="11"/>
  <c r="AD16" i="11" s="1"/>
  <c r="T17" i="11"/>
  <c r="AD17" i="11" s="1"/>
  <c r="T18" i="11"/>
  <c r="AD18" i="11" s="1"/>
  <c r="T19" i="11"/>
  <c r="AD19" i="11" s="1"/>
  <c r="T20" i="11"/>
  <c r="AD20" i="11" s="1"/>
  <c r="T13" i="11"/>
  <c r="S9" i="11"/>
  <c r="T34" i="11"/>
  <c r="T35" i="11"/>
  <c r="T36" i="11"/>
  <c r="T33" i="11"/>
  <c r="N13" i="11" l="1"/>
  <c r="N14" i="11" s="1"/>
  <c r="N15" i="11" s="1"/>
  <c r="AA39" i="24"/>
  <c r="AA28" i="24"/>
  <c r="AA20" i="24"/>
  <c r="AA38" i="24"/>
  <c r="AA27" i="24"/>
  <c r="AA19" i="24"/>
  <c r="AA40" i="24"/>
  <c r="AA37" i="24"/>
  <c r="AA26" i="24"/>
  <c r="AA18" i="24"/>
  <c r="AA36" i="24"/>
  <c r="AA25" i="24"/>
  <c r="AA17" i="24"/>
  <c r="AA21" i="24"/>
  <c r="AA35" i="24"/>
  <c r="AA24" i="24"/>
  <c r="AA16" i="24"/>
  <c r="AA32" i="24"/>
  <c r="AA23" i="24"/>
  <c r="AA15" i="24"/>
  <c r="AA30" i="24"/>
  <c r="AA31" i="24"/>
  <c r="AA22" i="24"/>
  <c r="AA14" i="24"/>
  <c r="I7" i="20"/>
  <c r="I7" i="23"/>
  <c r="I7" i="22"/>
  <c r="I7" i="24"/>
  <c r="I7" i="3"/>
  <c r="I7" i="18"/>
  <c r="I7" i="11"/>
  <c r="T45" i="11"/>
  <c r="W45" i="11" s="1"/>
  <c r="Z45" i="11" s="1"/>
  <c r="T44" i="11"/>
  <c r="W44" i="11" s="1"/>
  <c r="Z44" i="11" s="1"/>
  <c r="T43" i="11"/>
  <c r="W43" i="11" s="1"/>
  <c r="Z43" i="11" s="1"/>
  <c r="AA42" i="11"/>
  <c r="X42" i="11"/>
  <c r="AD38" i="11"/>
  <c r="AD35" i="11"/>
  <c r="AD34" i="11"/>
  <c r="AD33" i="11"/>
  <c r="AD32" i="11"/>
  <c r="AD31" i="11"/>
  <c r="AD29" i="11"/>
  <c r="AD27" i="11"/>
  <c r="AD26" i="11"/>
  <c r="AD25" i="11"/>
  <c r="T22" i="11"/>
  <c r="AD22" i="11" s="1"/>
  <c r="AD12" i="11"/>
  <c r="AD11" i="11"/>
  <c r="AD13" i="11"/>
  <c r="N35" i="11" l="1"/>
  <c r="N20" i="11"/>
  <c r="O20" i="11" s="1"/>
  <c r="N18" i="11"/>
  <c r="O18" i="11" s="1"/>
  <c r="N17" i="11"/>
  <c r="O17" i="11" s="1"/>
  <c r="N16" i="11"/>
  <c r="O16" i="11" s="1"/>
  <c r="N19" i="11"/>
  <c r="O19" i="11" s="1"/>
  <c r="N32" i="11"/>
  <c r="N34" i="11"/>
  <c r="N21" i="11"/>
  <c r="O21" i="11" s="1"/>
  <c r="N31" i="11"/>
  <c r="N36" i="11"/>
  <c r="O36" i="11" s="1"/>
  <c r="N33" i="11"/>
  <c r="O13" i="11"/>
  <c r="O15" i="11"/>
  <c r="Q13" i="11" l="1"/>
  <c r="Q18" i="11"/>
  <c r="Q6" i="11"/>
  <c r="G28" i="3"/>
  <c r="M5" i="3"/>
  <c r="K5" i="3"/>
  <c r="E5" i="1"/>
  <c r="J8" i="1" l="1"/>
  <c r="D80" i="4"/>
  <c r="E79" i="4"/>
  <c r="D79" i="4"/>
  <c r="F76" i="4"/>
  <c r="F79" i="4" s="1"/>
  <c r="F75" i="4"/>
  <c r="E75" i="4"/>
  <c r="D75" i="4"/>
  <c r="E70" i="4"/>
  <c r="D48" i="4"/>
  <c r="D54" i="4" s="1"/>
  <c r="D31" i="4"/>
  <c r="L29" i="1" l="1"/>
  <c r="E83" i="4"/>
  <c r="E82" i="4"/>
  <c r="D82" i="4"/>
  <c r="D83" i="4"/>
  <c r="F83" i="4"/>
  <c r="F82" i="4"/>
  <c r="J70" i="4"/>
  <c r="E84" i="4" s="1"/>
  <c r="D28" i="1" l="1"/>
  <c r="F29" i="1"/>
  <c r="D29" i="1" s="1"/>
  <c r="P26" i="1"/>
  <c r="F84" i="4"/>
  <c r="D87" i="4" s="1"/>
  <c r="K70" i="4"/>
  <c r="D84" i="4"/>
  <c r="D86" i="4" l="1"/>
  <c r="O29" i="1"/>
  <c r="D30" i="1"/>
  <c r="H8" i="22" l="1"/>
  <c r="H8" i="23"/>
  <c r="H8" i="20"/>
  <c r="H8" i="24"/>
  <c r="H8" i="11"/>
  <c r="H8" i="18"/>
  <c r="H8" i="3"/>
  <c r="P29" i="1"/>
  <c r="I8" i="23" l="1"/>
  <c r="I8" i="22"/>
  <c r="I8" i="24"/>
  <c r="I8" i="20"/>
  <c r="I8" i="3"/>
  <c r="I8" i="11"/>
  <c r="I8" i="18"/>
  <c r="G27" i="3" l="1"/>
  <c r="G26" i="3" l="1"/>
  <c r="G32" i="3"/>
  <c r="G33" i="3"/>
  <c r="G31" i="3"/>
  <c r="G18" i="3"/>
  <c r="G17" i="3"/>
  <c r="G10" i="3"/>
  <c r="G9" i="3"/>
  <c r="G7" i="3"/>
  <c r="N7" i="3" s="1"/>
  <c r="G5" i="3"/>
  <c r="I34" i="3" l="1"/>
  <c r="D16" i="4"/>
  <c r="D14" i="4"/>
  <c r="D58" i="4" s="1"/>
  <c r="D13" i="4"/>
  <c r="D10" i="4"/>
  <c r="D9" i="4"/>
  <c r="D8" i="4"/>
  <c r="I24" i="4" s="1"/>
  <c r="D7" i="4"/>
  <c r="D6" i="4"/>
  <c r="D5" i="4"/>
  <c r="D12" i="4"/>
  <c r="I14" i="1" l="1"/>
  <c r="D59" i="4"/>
  <c r="D89" i="4"/>
  <c r="D90" i="4" s="1"/>
  <c r="D93" i="4" s="1"/>
  <c r="D96" i="4" s="1"/>
  <c r="D51" i="4"/>
  <c r="D52" i="4" s="1"/>
  <c r="D55" i="4" s="1"/>
  <c r="D56" i="4" s="1"/>
  <c r="D30" i="4"/>
  <c r="I30" i="4"/>
  <c r="I29" i="4"/>
  <c r="D4" i="4"/>
  <c r="H5" i="1"/>
  <c r="L5" i="3" l="1"/>
  <c r="D61" i="4"/>
  <c r="O66" i="4" s="1"/>
  <c r="P66" i="4" s="1"/>
  <c r="D15" i="4" s="1"/>
  <c r="D92" i="4"/>
  <c r="D95" i="4" s="1"/>
  <c r="K9" i="4" s="1"/>
  <c r="D27" i="4"/>
  <c r="D23" i="4"/>
  <c r="D26" i="4" s="1"/>
  <c r="K11" i="4"/>
  <c r="K10" i="4"/>
  <c r="Q8" i="24" l="1"/>
  <c r="O9" i="24"/>
  <c r="D63" i="4"/>
  <c r="D65" i="4" s="1"/>
  <c r="J11" i="4" s="1"/>
  <c r="D62" i="4"/>
  <c r="D64" i="4" s="1"/>
  <c r="J9" i="4" s="1"/>
  <c r="Z38" i="11"/>
  <c r="AA39" i="11" s="1"/>
  <c r="X38" i="11"/>
  <c r="Y39" i="11" s="1"/>
  <c r="D29" i="4"/>
  <c r="D32" i="4" s="1"/>
  <c r="O8" i="1" s="1"/>
  <c r="D9" i="1" s="1"/>
  <c r="I35" i="4"/>
  <c r="E40" i="24" l="1"/>
  <c r="M40" i="24"/>
  <c r="L40" i="24" s="1"/>
  <c r="Y20" i="11"/>
  <c r="J10" i="4"/>
  <c r="Y13" i="11"/>
  <c r="Y21" i="11"/>
  <c r="AA20" i="11"/>
  <c r="AA21" i="11"/>
  <c r="Y16" i="11"/>
  <c r="Y17" i="11"/>
  <c r="Y31" i="11"/>
  <c r="Y36" i="11"/>
  <c r="Y18" i="11"/>
  <c r="Y26" i="11"/>
  <c r="Y34" i="11"/>
  <c r="AA13" i="11"/>
  <c r="AA36" i="11"/>
  <c r="AA14" i="11"/>
  <c r="AA32" i="11"/>
  <c r="AA35" i="11"/>
  <c r="Y27" i="11"/>
  <c r="Y14" i="11"/>
  <c r="Y15" i="11"/>
  <c r="Y35" i="11"/>
  <c r="Y22" i="11"/>
  <c r="Y19" i="11"/>
  <c r="Y32" i="11"/>
  <c r="Y33" i="11"/>
  <c r="Y12" i="11"/>
  <c r="X43" i="11"/>
  <c r="AA33" i="11"/>
  <c r="AA17" i="11"/>
  <c r="AA26" i="11"/>
  <c r="AA27" i="11"/>
  <c r="AA34" i="11"/>
  <c r="X45" i="11"/>
  <c r="Y30" i="11"/>
  <c r="AA16" i="11"/>
  <c r="AA44" i="11"/>
  <c r="AA25" i="11"/>
  <c r="Y25" i="11"/>
  <c r="X44" i="11"/>
  <c r="AA43" i="11"/>
  <c r="AA12" i="11"/>
  <c r="AA45" i="11"/>
  <c r="AA30" i="11"/>
  <c r="AA31" i="11"/>
  <c r="AA15" i="11"/>
  <c r="AA22" i="11"/>
  <c r="AA19" i="11"/>
  <c r="AA18" i="11"/>
  <c r="D33" i="4"/>
  <c r="L11" i="1" l="1"/>
  <c r="D11" i="1" s="1"/>
  <c r="F11" i="1"/>
  <c r="D10" i="1" s="1"/>
  <c r="O11" i="1" l="1"/>
  <c r="H5" i="3" l="1"/>
  <c r="H5" i="22"/>
  <c r="H5" i="24"/>
  <c r="H5" i="20"/>
  <c r="H5" i="23"/>
  <c r="H5" i="18"/>
  <c r="H5" i="11"/>
  <c r="P11" i="1"/>
  <c r="I5" i="23" l="1"/>
  <c r="I5" i="24"/>
  <c r="I5" i="20"/>
  <c r="I5" i="22"/>
  <c r="I5" i="3"/>
  <c r="I5" i="18"/>
  <c r="I5" i="11"/>
  <c r="P20" i="1" l="1"/>
  <c r="J14" i="1"/>
  <c r="P8" i="1"/>
  <c r="K38" i="1"/>
  <c r="L38" i="1" s="1"/>
  <c r="K32" i="1"/>
  <c r="E14" i="1"/>
  <c r="O14" i="1" s="1"/>
  <c r="J5" i="15" l="1"/>
  <c r="K5" i="15" s="1"/>
  <c r="E7" i="15" s="1"/>
  <c r="E9" i="15" s="1"/>
  <c r="O32" i="1" s="1"/>
  <c r="L32" i="1"/>
  <c r="J5" i="16"/>
  <c r="K5" i="16" s="1"/>
  <c r="E7" i="16" s="1"/>
  <c r="E9" i="16" s="1"/>
  <c r="O38" i="1" s="1"/>
  <c r="D16" i="1"/>
  <c r="L17" i="1"/>
  <c r="P14" i="1"/>
  <c r="E6" i="3"/>
  <c r="L41" i="1" l="1"/>
  <c r="D41" i="1" s="1"/>
  <c r="D39" i="1"/>
  <c r="P38" i="1"/>
  <c r="F41" i="1"/>
  <c r="D40" i="1" s="1"/>
  <c r="L35" i="1"/>
  <c r="D35" i="1" s="1"/>
  <c r="F35" i="1"/>
  <c r="D34" i="1" s="1"/>
  <c r="P32" i="1"/>
  <c r="D33" i="1"/>
  <c r="E6" i="20"/>
  <c r="E6" i="23"/>
  <c r="E6" i="24"/>
  <c r="E6" i="22"/>
  <c r="E6" i="18"/>
  <c r="E6" i="11"/>
  <c r="N6" i="3"/>
  <c r="O6" i="3"/>
  <c r="M6" i="3"/>
  <c r="D18" i="1"/>
  <c r="F17" i="1"/>
  <c r="D17" i="1" s="1"/>
  <c r="G6" i="3"/>
  <c r="O41" i="1" l="1"/>
  <c r="H10" i="24" s="1"/>
  <c r="O35" i="1"/>
  <c r="H9" i="24" s="1"/>
  <c r="G6" i="20"/>
  <c r="G6" i="22"/>
  <c r="G6" i="24"/>
  <c r="G6" i="23"/>
  <c r="G6" i="11"/>
  <c r="G6" i="18"/>
  <c r="O17" i="1"/>
  <c r="H6" i="22" s="1"/>
  <c r="H10" i="11" l="1"/>
  <c r="H10" i="20"/>
  <c r="H10" i="18"/>
  <c r="H10" i="3"/>
  <c r="H10" i="23"/>
  <c r="P41" i="1"/>
  <c r="I10" i="22" s="1"/>
  <c r="H10" i="22"/>
  <c r="H9" i="11"/>
  <c r="H9" i="18"/>
  <c r="H9" i="20"/>
  <c r="H9" i="3"/>
  <c r="P35" i="1"/>
  <c r="I9" i="22" s="1"/>
  <c r="H9" i="23"/>
  <c r="H9" i="22"/>
  <c r="H6" i="11"/>
  <c r="H6" i="23"/>
  <c r="H6" i="20"/>
  <c r="H6" i="24"/>
  <c r="H6" i="18"/>
  <c r="H6" i="3"/>
  <c r="P17" i="1"/>
  <c r="I10" i="3" l="1"/>
  <c r="I10" i="11"/>
  <c r="I10" i="24"/>
  <c r="I10" i="23"/>
  <c r="I10" i="20"/>
  <c r="I10" i="18"/>
  <c r="I9" i="20"/>
  <c r="I9" i="23"/>
  <c r="I9" i="18"/>
  <c r="I9" i="3"/>
  <c r="I9" i="24"/>
  <c r="I9" i="11"/>
  <c r="I6" i="23"/>
  <c r="I6" i="24"/>
  <c r="I6" i="22"/>
  <c r="I12" i="22" s="1"/>
  <c r="I6" i="20"/>
  <c r="I6" i="18"/>
  <c r="I6" i="11"/>
  <c r="P3" i="1"/>
  <c r="I6" i="3"/>
  <c r="I12" i="20" l="1"/>
  <c r="I12" i="18"/>
  <c r="I12" i="23"/>
  <c r="I12" i="3"/>
  <c r="I12" i="11"/>
  <c r="I12" i="24"/>
  <c r="D11" i="4"/>
  <c r="Q20" i="25" l="1"/>
  <c r="Q19" i="25"/>
  <c r="Q22" i="25"/>
  <c r="Q21" i="25"/>
  <c r="Q32" i="23"/>
  <c r="Q31" i="23"/>
  <c r="I34" i="4"/>
  <c r="I32" i="4"/>
  <c r="N14" i="23" l="1"/>
  <c r="N36" i="23" s="1"/>
  <c r="O36" i="23" s="1"/>
  <c r="O43" i="23"/>
  <c r="Q43" i="23" s="1"/>
  <c r="N14" i="22"/>
  <c r="N20" i="22" s="1"/>
  <c r="O20" i="22" s="1"/>
  <c r="O43" i="22"/>
  <c r="Q43" i="22" s="1"/>
  <c r="N14" i="24"/>
  <c r="N36" i="24" s="1"/>
  <c r="O36" i="24" s="1"/>
  <c r="O43" i="24"/>
  <c r="Q43" i="24" s="1"/>
  <c r="N14" i="18"/>
  <c r="N15" i="18" s="1"/>
  <c r="N14" i="20"/>
  <c r="N20" i="20" s="1"/>
  <c r="O20" i="20" s="1"/>
  <c r="N20" i="23"/>
  <c r="O20" i="23" s="1"/>
  <c r="N24" i="23"/>
  <c r="O24" i="23" s="1"/>
  <c r="N22" i="22"/>
  <c r="N26" i="22"/>
  <c r="N15" i="24"/>
  <c r="N21" i="24"/>
  <c r="N39" i="24"/>
  <c r="O39" i="24" s="1"/>
  <c r="N38" i="22"/>
  <c r="N18" i="22"/>
  <c r="N24" i="22"/>
  <c r="N15" i="22"/>
  <c r="N40" i="22"/>
  <c r="N23" i="22"/>
  <c r="Q32" i="24"/>
  <c r="Q31" i="24"/>
  <c r="I37" i="4"/>
  <c r="I36" i="4"/>
  <c r="N23" i="23" l="1"/>
  <c r="O23" i="23" s="1"/>
  <c r="N39" i="23"/>
  <c r="O39" i="23" s="1"/>
  <c r="V39" i="23" s="1"/>
  <c r="AI39" i="23" s="1"/>
  <c r="V39" i="24"/>
  <c r="AI39" i="24" s="1"/>
  <c r="N25" i="24"/>
  <c r="N15" i="23"/>
  <c r="N38" i="23"/>
  <c r="O38" i="23" s="1"/>
  <c r="V38" i="23" s="1"/>
  <c r="AI38" i="23" s="1"/>
  <c r="N40" i="24"/>
  <c r="O40" i="24" s="1"/>
  <c r="V40" i="24" s="1"/>
  <c r="AI40" i="24" s="1"/>
  <c r="N17" i="24"/>
  <c r="N26" i="24"/>
  <c r="N22" i="23"/>
  <c r="O22" i="23" s="1"/>
  <c r="V22" i="23" s="1"/>
  <c r="AI22" i="23" s="1"/>
  <c r="N37" i="23"/>
  <c r="O37" i="23" s="1"/>
  <c r="V37" i="23" s="1"/>
  <c r="AC37" i="23" s="1"/>
  <c r="N37" i="24"/>
  <c r="N23" i="24"/>
  <c r="N38" i="24"/>
  <c r="O38" i="24" s="1"/>
  <c r="V38" i="24" s="1"/>
  <c r="AI38" i="24" s="1"/>
  <c r="N24" i="24"/>
  <c r="N17" i="23"/>
  <c r="N18" i="23"/>
  <c r="N16" i="24"/>
  <c r="N20" i="24"/>
  <c r="N18" i="24"/>
  <c r="N22" i="24"/>
  <c r="N25" i="23"/>
  <c r="O25" i="23" s="1"/>
  <c r="V25" i="23" s="1"/>
  <c r="N40" i="23"/>
  <c r="O40" i="23" s="1"/>
  <c r="V40" i="23" s="1"/>
  <c r="AI40" i="23" s="1"/>
  <c r="N26" i="23"/>
  <c r="O26" i="23" s="1"/>
  <c r="V26" i="23" s="1"/>
  <c r="L52" i="23" s="1"/>
  <c r="N21" i="23"/>
  <c r="O21" i="23" s="1"/>
  <c r="V21" i="23" s="1"/>
  <c r="AI21" i="23" s="1"/>
  <c r="N21" i="22"/>
  <c r="O21" i="22" s="1"/>
  <c r="V21" i="22" s="1"/>
  <c r="N39" i="22"/>
  <c r="N17" i="22"/>
  <c r="V31" i="24"/>
  <c r="V32" i="24"/>
  <c r="V36" i="24"/>
  <c r="AI36" i="24" s="1"/>
  <c r="V31" i="22"/>
  <c r="V32" i="22"/>
  <c r="V20" i="22"/>
  <c r="AI20" i="22" s="1"/>
  <c r="V31" i="23"/>
  <c r="V32" i="23"/>
  <c r="V24" i="23"/>
  <c r="AI24" i="23" s="1"/>
  <c r="V23" i="23"/>
  <c r="AC23" i="23" s="1"/>
  <c r="V20" i="23"/>
  <c r="AC20" i="23" s="1"/>
  <c r="V36" i="23"/>
  <c r="N16" i="23"/>
  <c r="N25" i="22"/>
  <c r="O25" i="22" s="1"/>
  <c r="V25" i="22" s="1"/>
  <c r="N16" i="22"/>
  <c r="N36" i="22"/>
  <c r="O36" i="22" s="1"/>
  <c r="V36" i="22" s="1"/>
  <c r="N37" i="22"/>
  <c r="O37" i="22" s="1"/>
  <c r="V37" i="22" s="1"/>
  <c r="N21" i="20"/>
  <c r="O21" i="20" s="1"/>
  <c r="V21" i="20" s="1"/>
  <c r="N37" i="20"/>
  <c r="O37" i="20" s="1"/>
  <c r="V37" i="20" s="1"/>
  <c r="N24" i="20"/>
  <c r="N22" i="20"/>
  <c r="O22" i="20" s="1"/>
  <c r="V22" i="20" s="1"/>
  <c r="N16" i="20"/>
  <c r="N23" i="20"/>
  <c r="O23" i="20" s="1"/>
  <c r="V23" i="20" s="1"/>
  <c r="N26" i="20"/>
  <c r="O26" i="20" s="1"/>
  <c r="V26" i="20" s="1"/>
  <c r="AC26" i="20" s="1"/>
  <c r="N40" i="20"/>
  <c r="N15" i="20"/>
  <c r="N38" i="20"/>
  <c r="O38" i="20" s="1"/>
  <c r="V38" i="20" s="1"/>
  <c r="N36" i="20"/>
  <c r="O36" i="20" s="1"/>
  <c r="V36" i="20" s="1"/>
  <c r="N39" i="20"/>
  <c r="O39" i="20" s="1"/>
  <c r="V39" i="20" s="1"/>
  <c r="N25" i="20"/>
  <c r="O25" i="20" s="1"/>
  <c r="V25" i="20" s="1"/>
  <c r="N17" i="20"/>
  <c r="N18" i="20"/>
  <c r="L8" i="20"/>
  <c r="L7" i="20"/>
  <c r="O7" i="20" s="1"/>
  <c r="O43" i="20" s="1"/>
  <c r="L8" i="18"/>
  <c r="L7" i="18"/>
  <c r="O7" i="18" s="1"/>
  <c r="O43" i="18" s="1"/>
  <c r="O26" i="22"/>
  <c r="V26" i="22" s="1"/>
  <c r="O38" i="22"/>
  <c r="V38" i="22" s="1"/>
  <c r="O24" i="22"/>
  <c r="V24" i="22" s="1"/>
  <c r="O23" i="22"/>
  <c r="V23" i="22" s="1"/>
  <c r="O22" i="22"/>
  <c r="V22" i="22" s="1"/>
  <c r="O40" i="22"/>
  <c r="V40" i="22" s="1"/>
  <c r="O39" i="22"/>
  <c r="V39" i="22" s="1"/>
  <c r="O24" i="20"/>
  <c r="V24" i="20" s="1"/>
  <c r="O21" i="24"/>
  <c r="O22" i="24"/>
  <c r="O37" i="24"/>
  <c r="V37" i="24" s="1"/>
  <c r="O23" i="24"/>
  <c r="O26" i="24"/>
  <c r="O25" i="24"/>
  <c r="O20" i="24"/>
  <c r="O24" i="24"/>
  <c r="N21" i="18"/>
  <c r="O21" i="18" s="1"/>
  <c r="V21" i="18" s="1"/>
  <c r="N39" i="18"/>
  <c r="O39" i="18" s="1"/>
  <c r="V39" i="18" s="1"/>
  <c r="N36" i="18"/>
  <c r="O36" i="18" s="1"/>
  <c r="N22" i="18"/>
  <c r="O22" i="18" s="1"/>
  <c r="V22" i="18" s="1"/>
  <c r="N18" i="18"/>
  <c r="N37" i="18"/>
  <c r="O37" i="18" s="1"/>
  <c r="V37" i="18" s="1"/>
  <c r="N25" i="18"/>
  <c r="O25" i="18" s="1"/>
  <c r="V25" i="18" s="1"/>
  <c r="N23" i="18"/>
  <c r="O23" i="18" s="1"/>
  <c r="V23" i="18" s="1"/>
  <c r="N17" i="18"/>
  <c r="N40" i="18"/>
  <c r="N20" i="18"/>
  <c r="O20" i="18" s="1"/>
  <c r="N38" i="18"/>
  <c r="O38" i="18" s="1"/>
  <c r="V38" i="18" s="1"/>
  <c r="N26" i="18"/>
  <c r="N16" i="18"/>
  <c r="N24" i="18"/>
  <c r="O24" i="18" s="1"/>
  <c r="V24" i="18" s="1"/>
  <c r="Q31" i="20"/>
  <c r="Q32" i="20"/>
  <c r="I38" i="4"/>
  <c r="AI37" i="23" l="1"/>
  <c r="L27" i="23"/>
  <c r="M27" i="23" s="1"/>
  <c r="O27" i="23" s="1"/>
  <c r="V27" i="23" s="1"/>
  <c r="AC24" i="23"/>
  <c r="E45" i="23"/>
  <c r="AC38" i="23"/>
  <c r="AE38" i="23" s="1"/>
  <c r="AC22" i="23"/>
  <c r="AE22" i="23" s="1"/>
  <c r="AI23" i="23"/>
  <c r="AC25" i="23"/>
  <c r="AE25" i="23" s="1"/>
  <c r="AI25" i="23"/>
  <c r="AC40" i="23"/>
  <c r="AE40" i="23" s="1"/>
  <c r="AC36" i="24"/>
  <c r="AF36" i="24" s="1"/>
  <c r="AC39" i="23"/>
  <c r="AE39" i="23" s="1"/>
  <c r="L51" i="23"/>
  <c r="AI20" i="23"/>
  <c r="AC21" i="23"/>
  <c r="AF21" i="23" s="1"/>
  <c r="AC20" i="22"/>
  <c r="L51" i="22"/>
  <c r="AC32" i="24"/>
  <c r="AI32" i="24"/>
  <c r="AI31" i="24"/>
  <c r="AC31" i="24"/>
  <c r="V30" i="24"/>
  <c r="L54" i="24" s="1"/>
  <c r="AI32" i="22"/>
  <c r="AC32" i="22"/>
  <c r="AI31" i="22"/>
  <c r="V30" i="22"/>
  <c r="AC31" i="22"/>
  <c r="AC32" i="23"/>
  <c r="AI32" i="23"/>
  <c r="V30" i="23"/>
  <c r="AI31" i="23"/>
  <c r="AL31" i="23" s="1"/>
  <c r="AC31" i="23"/>
  <c r="L27" i="20"/>
  <c r="M27" i="20" s="1"/>
  <c r="O27" i="20" s="1"/>
  <c r="L52" i="20"/>
  <c r="AI26" i="20"/>
  <c r="V23" i="24"/>
  <c r="AI23" i="24" s="1"/>
  <c r="V24" i="24"/>
  <c r="AI24" i="24" s="1"/>
  <c r="V20" i="24"/>
  <c r="AI20" i="24" s="1"/>
  <c r="V25" i="24"/>
  <c r="AI25" i="24" s="1"/>
  <c r="V22" i="24"/>
  <c r="AI22" i="24" s="1"/>
  <c r="V26" i="24"/>
  <c r="AI26" i="24" s="1"/>
  <c r="V21" i="24"/>
  <c r="AI21" i="24" s="1"/>
  <c r="AC26" i="23"/>
  <c r="AE26" i="23" s="1"/>
  <c r="O8" i="18"/>
  <c r="O9" i="18" s="1"/>
  <c r="E40" i="18" s="1"/>
  <c r="T10" i="18"/>
  <c r="Q7" i="20"/>
  <c r="O8" i="20"/>
  <c r="Q8" i="20" s="1"/>
  <c r="T10" i="20"/>
  <c r="AI26" i="23"/>
  <c r="AI38" i="18"/>
  <c r="AC38" i="18"/>
  <c r="AI22" i="18"/>
  <c r="AC22" i="18"/>
  <c r="AI40" i="22"/>
  <c r="AC40" i="22"/>
  <c r="AC37" i="22"/>
  <c r="AI37" i="22"/>
  <c r="AC36" i="20"/>
  <c r="AI36" i="20"/>
  <c r="AE26" i="20"/>
  <c r="AF26" i="20"/>
  <c r="AE37" i="23"/>
  <c r="AF37" i="23"/>
  <c r="AC37" i="20"/>
  <c r="AI37" i="20"/>
  <c r="AI21" i="18"/>
  <c r="AC21" i="18"/>
  <c r="AI22" i="22"/>
  <c r="AC22" i="22"/>
  <c r="AC21" i="22"/>
  <c r="AI21" i="22"/>
  <c r="AC36" i="23"/>
  <c r="AI36" i="23"/>
  <c r="AI23" i="18"/>
  <c r="AC23" i="18"/>
  <c r="AC24" i="18"/>
  <c r="AI24" i="18"/>
  <c r="AC25" i="20"/>
  <c r="AI25" i="20"/>
  <c r="L52" i="22"/>
  <c r="AC26" i="22"/>
  <c r="AI26" i="22"/>
  <c r="AC25" i="18"/>
  <c r="AI25" i="18"/>
  <c r="AI39" i="20"/>
  <c r="AC39" i="20"/>
  <c r="AI37" i="18"/>
  <c r="AC37" i="18"/>
  <c r="AI23" i="20"/>
  <c r="AC23" i="20"/>
  <c r="AI23" i="22"/>
  <c r="AC23" i="22"/>
  <c r="AC25" i="22"/>
  <c r="AI25" i="22"/>
  <c r="AE20" i="23"/>
  <c r="AF20" i="23"/>
  <c r="AC38" i="20"/>
  <c r="AI38" i="20"/>
  <c r="AE23" i="23"/>
  <c r="AF23" i="23"/>
  <c r="AI22" i="20"/>
  <c r="AC22" i="20"/>
  <c r="AI24" i="22"/>
  <c r="AC24" i="22"/>
  <c r="V35" i="23"/>
  <c r="L55" i="23" s="1"/>
  <c r="AC39" i="18"/>
  <c r="AI39" i="18"/>
  <c r="AI24" i="20"/>
  <c r="AC24" i="20"/>
  <c r="AC21" i="20"/>
  <c r="AI21" i="20"/>
  <c r="AC39" i="22"/>
  <c r="AI39" i="22"/>
  <c r="AI38" i="22"/>
  <c r="AC38" i="22"/>
  <c r="AE24" i="23"/>
  <c r="AF24" i="23"/>
  <c r="V35" i="22"/>
  <c r="E45" i="22"/>
  <c r="V36" i="18"/>
  <c r="AC39" i="24"/>
  <c r="AC40" i="24"/>
  <c r="AC38" i="24"/>
  <c r="L27" i="22"/>
  <c r="M27" i="22" s="1"/>
  <c r="O26" i="18"/>
  <c r="V26" i="18" s="1"/>
  <c r="L27" i="24"/>
  <c r="M27" i="24" s="1"/>
  <c r="E45" i="24"/>
  <c r="V27" i="20"/>
  <c r="I39" i="4"/>
  <c r="D35" i="4" s="1"/>
  <c r="D37" i="4" s="1"/>
  <c r="AF40" i="23" l="1"/>
  <c r="AF22" i="23"/>
  <c r="AF38" i="23"/>
  <c r="AG38" i="23" s="1"/>
  <c r="AF25" i="23"/>
  <c r="AH25" i="23" s="1"/>
  <c r="AL25" i="23" s="1"/>
  <c r="AF39" i="23"/>
  <c r="AH39" i="23" s="1"/>
  <c r="AL39" i="23" s="1"/>
  <c r="AE36" i="24"/>
  <c r="AE21" i="23"/>
  <c r="U54" i="24"/>
  <c r="AF20" i="22"/>
  <c r="AE20" i="22"/>
  <c r="AF31" i="24"/>
  <c r="AE31" i="24"/>
  <c r="AI30" i="24"/>
  <c r="AC30" i="24"/>
  <c r="AE32" i="24"/>
  <c r="AF32" i="24"/>
  <c r="AI30" i="22"/>
  <c r="L54" i="22"/>
  <c r="AC30" i="22"/>
  <c r="U54" i="22"/>
  <c r="AF32" i="22"/>
  <c r="AE32" i="22"/>
  <c r="AE31" i="22"/>
  <c r="AF31" i="22"/>
  <c r="AC30" i="23"/>
  <c r="AI30" i="23"/>
  <c r="L54" i="23"/>
  <c r="U54" i="23"/>
  <c r="AE31" i="23"/>
  <c r="AF31" i="23"/>
  <c r="AF32" i="23"/>
  <c r="AE32" i="23"/>
  <c r="O27" i="22"/>
  <c r="V27" i="22" s="1"/>
  <c r="O27" i="24"/>
  <c r="V27" i="24" s="1"/>
  <c r="AI27" i="24" s="1"/>
  <c r="AC25" i="24"/>
  <c r="AF25" i="24" s="1"/>
  <c r="AC22" i="24"/>
  <c r="AF22" i="24" s="1"/>
  <c r="AF26" i="23"/>
  <c r="AG26" i="23" s="1"/>
  <c r="L52" i="24"/>
  <c r="AC26" i="24"/>
  <c r="AF26" i="24" s="1"/>
  <c r="AC20" i="24"/>
  <c r="AF20" i="24" s="1"/>
  <c r="AC23" i="24"/>
  <c r="AF23" i="24" s="1"/>
  <c r="AC24" i="24"/>
  <c r="AF24" i="24" s="1"/>
  <c r="AC21" i="24"/>
  <c r="AE21" i="24" s="1"/>
  <c r="L51" i="24"/>
  <c r="O9" i="20"/>
  <c r="Q43" i="20" s="1"/>
  <c r="V20" i="20" s="1"/>
  <c r="AH23" i="23"/>
  <c r="AL23" i="23" s="1"/>
  <c r="AG23" i="23"/>
  <c r="AF25" i="22"/>
  <c r="AE25" i="22"/>
  <c r="AE38" i="22"/>
  <c r="AF38" i="22"/>
  <c r="AE26" i="22"/>
  <c r="AF26" i="22"/>
  <c r="AF21" i="22"/>
  <c r="AE21" i="22"/>
  <c r="AG37" i="23"/>
  <c r="AH37" i="23"/>
  <c r="AL37" i="23" s="1"/>
  <c r="AI26" i="18"/>
  <c r="AC26" i="18"/>
  <c r="AE39" i="18"/>
  <c r="AF39" i="18"/>
  <c r="AE22" i="20"/>
  <c r="AF22" i="20"/>
  <c r="AE25" i="18"/>
  <c r="AF25" i="18"/>
  <c r="AF22" i="22"/>
  <c r="AE22" i="22"/>
  <c r="AF23" i="20"/>
  <c r="AE23" i="20"/>
  <c r="AG26" i="20"/>
  <c r="AH26" i="20"/>
  <c r="AL26" i="20" s="1"/>
  <c r="AE39" i="22"/>
  <c r="AF39" i="22"/>
  <c r="AE25" i="20"/>
  <c r="AF25" i="20"/>
  <c r="AF21" i="18"/>
  <c r="AE21" i="18"/>
  <c r="U55" i="22"/>
  <c r="AI35" i="22"/>
  <c r="AC35" i="22"/>
  <c r="AH36" i="24"/>
  <c r="AG36" i="24"/>
  <c r="AH20" i="23"/>
  <c r="AL20" i="23" s="1"/>
  <c r="AG20" i="23"/>
  <c r="AE37" i="18"/>
  <c r="AF37" i="18"/>
  <c r="AC27" i="23"/>
  <c r="AI27" i="23"/>
  <c r="AC36" i="18"/>
  <c r="AI36" i="18"/>
  <c r="AH40" i="23"/>
  <c r="AG40" i="23"/>
  <c r="AE21" i="20"/>
  <c r="AF21" i="20"/>
  <c r="AF38" i="20"/>
  <c r="AE38" i="20"/>
  <c r="AG21" i="23"/>
  <c r="AH21" i="23"/>
  <c r="AL21" i="23" s="1"/>
  <c r="AH22" i="23"/>
  <c r="AL22" i="23" s="1"/>
  <c r="AG22" i="23"/>
  <c r="AF36" i="20"/>
  <c r="AE36" i="20"/>
  <c r="AF22" i="18"/>
  <c r="AE22" i="18"/>
  <c r="AF24" i="20"/>
  <c r="AE24" i="20"/>
  <c r="AI35" i="23"/>
  <c r="AC35" i="23"/>
  <c r="U55" i="23"/>
  <c r="AF39" i="20"/>
  <c r="AE39" i="20"/>
  <c r="AF24" i="18"/>
  <c r="AE24" i="18"/>
  <c r="AE36" i="23"/>
  <c r="AF36" i="23"/>
  <c r="AF37" i="20"/>
  <c r="AE37" i="20"/>
  <c r="AC37" i="24"/>
  <c r="AF37" i="24" s="1"/>
  <c r="AI37" i="24"/>
  <c r="AH24" i="23"/>
  <c r="AL24" i="23" s="1"/>
  <c r="AG24" i="23"/>
  <c r="AF24" i="22"/>
  <c r="AE24" i="22"/>
  <c r="AE37" i="22"/>
  <c r="AF37" i="22"/>
  <c r="AE38" i="18"/>
  <c r="AF38" i="18"/>
  <c r="AI36" i="22"/>
  <c r="AC36" i="22"/>
  <c r="AF23" i="22"/>
  <c r="AE23" i="22"/>
  <c r="AE23" i="18"/>
  <c r="AF23" i="18"/>
  <c r="AE40" i="22"/>
  <c r="AF40" i="22"/>
  <c r="L55" i="22"/>
  <c r="AF39" i="24"/>
  <c r="AE39" i="24"/>
  <c r="AF40" i="24"/>
  <c r="AE40" i="24"/>
  <c r="AF38" i="24"/>
  <c r="AE38" i="24"/>
  <c r="L27" i="18"/>
  <c r="M27" i="18" s="1"/>
  <c r="V35" i="24"/>
  <c r="L54" i="20"/>
  <c r="U54" i="20"/>
  <c r="D39" i="4"/>
  <c r="D43" i="4" s="1"/>
  <c r="I10" i="4" s="1"/>
  <c r="L10" i="4" s="1"/>
  <c r="D38" i="4"/>
  <c r="J5" i="1"/>
  <c r="K5" i="1" s="1"/>
  <c r="P5" i="3" s="1"/>
  <c r="O26" i="11"/>
  <c r="O31" i="11"/>
  <c r="O14" i="11"/>
  <c r="O32" i="11"/>
  <c r="O34" i="11"/>
  <c r="O27" i="11"/>
  <c r="O33" i="11"/>
  <c r="AG39" i="23" l="1"/>
  <c r="AH38" i="23"/>
  <c r="AL38" i="23" s="1"/>
  <c r="AG25" i="23"/>
  <c r="AH20" i="22"/>
  <c r="AL20" i="22" s="1"/>
  <c r="AG20" i="22"/>
  <c r="AG32" i="24"/>
  <c r="AH32" i="24"/>
  <c r="AL32" i="24" s="1"/>
  <c r="AE30" i="24"/>
  <c r="AF30" i="24"/>
  <c r="AH31" i="24"/>
  <c r="AL31" i="24" s="1"/>
  <c r="AG31" i="24"/>
  <c r="AE25" i="24"/>
  <c r="AG31" i="22"/>
  <c r="AH31" i="22"/>
  <c r="AL31" i="22" s="1"/>
  <c r="AE30" i="22"/>
  <c r="AF30" i="22"/>
  <c r="AH32" i="22"/>
  <c r="AL32" i="22" s="1"/>
  <c r="AG32" i="22"/>
  <c r="AG32" i="23"/>
  <c r="AH32" i="23"/>
  <c r="AH31" i="23"/>
  <c r="AG31" i="23"/>
  <c r="AF30" i="23"/>
  <c r="AE30" i="23"/>
  <c r="O27" i="18"/>
  <c r="V27" i="18" s="1"/>
  <c r="AH26" i="23"/>
  <c r="AL26" i="23" s="1"/>
  <c r="AE22" i="24"/>
  <c r="AE20" i="24"/>
  <c r="AE23" i="24"/>
  <c r="AE26" i="24"/>
  <c r="D7" i="29"/>
  <c r="AF21" i="24"/>
  <c r="AL36" i="24"/>
  <c r="AE24" i="24"/>
  <c r="AI20" i="20"/>
  <c r="L51" i="20"/>
  <c r="AC20" i="20"/>
  <c r="E40" i="20"/>
  <c r="M40" i="20"/>
  <c r="AL40" i="23"/>
  <c r="AE37" i="24"/>
  <c r="AH23" i="22"/>
  <c r="AG23" i="22"/>
  <c r="AH24" i="18"/>
  <c r="AL24" i="18" s="1"/>
  <c r="AG24" i="18"/>
  <c r="AH21" i="20"/>
  <c r="AL21" i="20" s="1"/>
  <c r="AG21" i="20"/>
  <c r="AG22" i="20"/>
  <c r="AH22" i="20"/>
  <c r="AL22" i="20" s="1"/>
  <c r="AG38" i="22"/>
  <c r="AH38" i="22"/>
  <c r="AL38" i="22" s="1"/>
  <c r="AI27" i="20"/>
  <c r="AC27" i="20"/>
  <c r="AH39" i="22"/>
  <c r="AG39" i="22"/>
  <c r="AH37" i="24"/>
  <c r="AG37" i="24"/>
  <c r="AE27" i="23"/>
  <c r="AF27" i="23"/>
  <c r="AI27" i="22"/>
  <c r="AC27" i="22"/>
  <c r="AH40" i="24"/>
  <c r="AG40" i="24"/>
  <c r="AH25" i="24"/>
  <c r="AL25" i="24" s="1"/>
  <c r="AG25" i="24"/>
  <c r="AG22" i="24"/>
  <c r="AH22" i="24"/>
  <c r="AF36" i="22"/>
  <c r="AE36" i="22"/>
  <c r="AG24" i="20"/>
  <c r="AH24" i="20"/>
  <c r="AL24" i="20" s="1"/>
  <c r="AH23" i="20"/>
  <c r="AL23" i="20" s="1"/>
  <c r="AG23" i="20"/>
  <c r="AH22" i="22"/>
  <c r="AG22" i="22"/>
  <c r="AF35" i="22"/>
  <c r="AE35" i="22"/>
  <c r="AH21" i="18"/>
  <c r="AL21" i="18" s="1"/>
  <c r="AG21" i="18"/>
  <c r="AG39" i="18"/>
  <c r="AH39" i="18"/>
  <c r="AL39" i="18" s="1"/>
  <c r="AG21" i="22"/>
  <c r="AH21" i="22"/>
  <c r="AG37" i="18"/>
  <c r="AH37" i="18"/>
  <c r="AL37" i="18" s="1"/>
  <c r="AH24" i="24"/>
  <c r="AL24" i="24" s="1"/>
  <c r="AG24" i="24"/>
  <c r="AH25" i="18"/>
  <c r="AL25" i="18" s="1"/>
  <c r="AG25" i="18"/>
  <c r="AH26" i="22"/>
  <c r="AG26" i="22"/>
  <c r="AH25" i="22"/>
  <c r="AG25" i="22"/>
  <c r="AH24" i="22"/>
  <c r="AG24" i="22"/>
  <c r="AG38" i="20"/>
  <c r="AH38" i="20"/>
  <c r="AL38" i="20" s="1"/>
  <c r="AH39" i="20"/>
  <c r="AL39" i="20" s="1"/>
  <c r="AG39" i="20"/>
  <c r="AC35" i="24"/>
  <c r="AE35" i="24" s="1"/>
  <c r="AI35" i="24"/>
  <c r="AH37" i="20"/>
  <c r="AL37" i="20" s="1"/>
  <c r="AG37" i="20"/>
  <c r="AH25" i="20"/>
  <c r="AL25" i="20" s="1"/>
  <c r="AG25" i="20"/>
  <c r="AH26" i="24"/>
  <c r="AL26" i="24" s="1"/>
  <c r="AG26" i="24"/>
  <c r="AH40" i="22"/>
  <c r="AG40" i="22"/>
  <c r="AL40" i="22" s="1"/>
  <c r="AH38" i="18"/>
  <c r="AL38" i="18" s="1"/>
  <c r="AG38" i="18"/>
  <c r="AH22" i="18"/>
  <c r="AL22" i="18" s="1"/>
  <c r="AG22" i="18"/>
  <c r="AH38" i="24"/>
  <c r="AG38" i="24"/>
  <c r="AH23" i="24"/>
  <c r="AL23" i="24" s="1"/>
  <c r="AG23" i="24"/>
  <c r="AH39" i="24"/>
  <c r="AG39" i="24"/>
  <c r="AG23" i="18"/>
  <c r="AH23" i="18"/>
  <c r="AL23" i="18" s="1"/>
  <c r="AH37" i="22"/>
  <c r="AG37" i="22"/>
  <c r="AH36" i="23"/>
  <c r="AL36" i="23" s="1"/>
  <c r="AG36" i="23"/>
  <c r="AG36" i="20"/>
  <c r="AH36" i="20"/>
  <c r="AL36" i="20" s="1"/>
  <c r="AE36" i="18"/>
  <c r="AF36" i="18"/>
  <c r="AE26" i="18"/>
  <c r="AF26" i="18"/>
  <c r="AE35" i="23"/>
  <c r="AF35" i="23"/>
  <c r="AH20" i="24"/>
  <c r="AG20" i="24"/>
  <c r="AC27" i="24"/>
  <c r="L55" i="24"/>
  <c r="U55" i="24"/>
  <c r="D40" i="4"/>
  <c r="D44" i="4" s="1"/>
  <c r="I11" i="4" s="1"/>
  <c r="L11" i="4" s="1"/>
  <c r="D42" i="4"/>
  <c r="I9" i="4" s="1"/>
  <c r="L9" i="4" s="1"/>
  <c r="Q14" i="11"/>
  <c r="L22" i="11"/>
  <c r="M22" i="11" s="1"/>
  <c r="Q26" i="11"/>
  <c r="Q27" i="11"/>
  <c r="AL37" i="22" l="1"/>
  <c r="AL20" i="24"/>
  <c r="AL39" i="24"/>
  <c r="AL39" i="22"/>
  <c r="AL38" i="24"/>
  <c r="AL32" i="23"/>
  <c r="AG30" i="24"/>
  <c r="AH30" i="24"/>
  <c r="AL30" i="24" s="1"/>
  <c r="AL22" i="24"/>
  <c r="AG30" i="22"/>
  <c r="AH30" i="22"/>
  <c r="AL30" i="22" s="1"/>
  <c r="AG30" i="23"/>
  <c r="AH30" i="23"/>
  <c r="AL30" i="23" s="1"/>
  <c r="AC27" i="18"/>
  <c r="AE27" i="18" s="1"/>
  <c r="AI27" i="18"/>
  <c r="AL23" i="22"/>
  <c r="AL37" i="24"/>
  <c r="AL40" i="24"/>
  <c r="AG21" i="24"/>
  <c r="AH21" i="24"/>
  <c r="AL21" i="24" s="1"/>
  <c r="L40" i="20"/>
  <c r="O40" i="20"/>
  <c r="AF35" i="24"/>
  <c r="AH35" i="24" s="1"/>
  <c r="AE20" i="20"/>
  <c r="AF20" i="20"/>
  <c r="AL21" i="22"/>
  <c r="AL26" i="22"/>
  <c r="AL22" i="22"/>
  <c r="AL24" i="22"/>
  <c r="AL25" i="22"/>
  <c r="AH35" i="22"/>
  <c r="AG35" i="22"/>
  <c r="AH36" i="22"/>
  <c r="AL36" i="22" s="1"/>
  <c r="AG36" i="22"/>
  <c r="AE27" i="22"/>
  <c r="AF27" i="22"/>
  <c r="AH36" i="18"/>
  <c r="AL36" i="18" s="1"/>
  <c r="AG36" i="18"/>
  <c r="AH27" i="23"/>
  <c r="AL27" i="23" s="1"/>
  <c r="AG27" i="23"/>
  <c r="AG26" i="18"/>
  <c r="AH26" i="18"/>
  <c r="AL26" i="18" s="1"/>
  <c r="AF27" i="20"/>
  <c r="AE27" i="20"/>
  <c r="AG35" i="23"/>
  <c r="AH35" i="23"/>
  <c r="AL35" i="23" s="1"/>
  <c r="AF27" i="24"/>
  <c r="AE27" i="24"/>
  <c r="G41" i="3"/>
  <c r="I41" i="3" s="1"/>
  <c r="G42" i="3"/>
  <c r="I42" i="3" s="1"/>
  <c r="AL35" i="22" l="1"/>
  <c r="AF27" i="18"/>
  <c r="AG27" i="18" s="1"/>
  <c r="AG35" i="24"/>
  <c r="AL35" i="24" s="1"/>
  <c r="AH20" i="20"/>
  <c r="AL20" i="20" s="1"/>
  <c r="AG20" i="20"/>
  <c r="V40" i="20"/>
  <c r="E45" i="20"/>
  <c r="AH27" i="24"/>
  <c r="AL27" i="24" s="1"/>
  <c r="AG27" i="24"/>
  <c r="AG27" i="20"/>
  <c r="AH27" i="20"/>
  <c r="AL27" i="20" s="1"/>
  <c r="AG27" i="22"/>
  <c r="AH27" i="22"/>
  <c r="AL27" i="22" s="1"/>
  <c r="G40" i="3"/>
  <c r="H26" i="3" s="1"/>
  <c r="I40" i="3"/>
  <c r="I26" i="3" s="1"/>
  <c r="M18" i="3" s="1"/>
  <c r="M15" i="3" s="1"/>
  <c r="P15" i="3" s="1"/>
  <c r="AH27" i="18" l="1"/>
  <c r="AI40" i="20"/>
  <c r="AC40" i="20"/>
  <c r="V35" i="20"/>
  <c r="AL27" i="18"/>
  <c r="I27" i="24"/>
  <c r="I27" i="23"/>
  <c r="I27" i="20"/>
  <c r="I27" i="22"/>
  <c r="I27" i="18"/>
  <c r="I27" i="11"/>
  <c r="H27" i="24"/>
  <c r="H27" i="22"/>
  <c r="H27" i="20"/>
  <c r="H27" i="23"/>
  <c r="H27" i="18"/>
  <c r="H27" i="11"/>
  <c r="F40" i="3"/>
  <c r="I36" i="3"/>
  <c r="H40" i="3"/>
  <c r="N34" i="3" l="1"/>
  <c r="N35" i="3"/>
  <c r="AE40" i="20"/>
  <c r="AF40" i="20"/>
  <c r="U55" i="20"/>
  <c r="AI35" i="20"/>
  <c r="L55" i="20"/>
  <c r="AC35" i="20"/>
  <c r="G22" i="8" l="1"/>
  <c r="D26" i="8" s="1"/>
  <c r="G38" i="25"/>
  <c r="H38" i="25" s="1"/>
  <c r="AF35" i="20"/>
  <c r="AE35" i="20"/>
  <c r="AH40" i="20"/>
  <c r="AL40" i="20" s="1"/>
  <c r="AG40" i="20"/>
  <c r="S19" i="3"/>
  <c r="S15" i="3" s="1"/>
  <c r="S16" i="3" s="1"/>
  <c r="K21" i="3"/>
  <c r="U27" i="3" s="1"/>
  <c r="L21" i="3" s="1"/>
  <c r="E27" i="8" s="1"/>
  <c r="M5" i="11"/>
  <c r="F17" i="20"/>
  <c r="H17" i="20" s="1"/>
  <c r="I17" i="20" s="1"/>
  <c r="I37" i="20" s="1"/>
  <c r="H37" i="20" s="1"/>
  <c r="F17" i="18"/>
  <c r="H17" i="18" s="1"/>
  <c r="I17" i="18" s="1"/>
  <c r="I37" i="18" s="1"/>
  <c r="H37" i="18" s="1"/>
  <c r="F17" i="11"/>
  <c r="F17" i="24"/>
  <c r="H17" i="24" s="1"/>
  <c r="I17" i="24" s="1"/>
  <c r="I37" i="24" s="1"/>
  <c r="H37" i="24" s="1"/>
  <c r="F17" i="23"/>
  <c r="H17" i="23" s="1"/>
  <c r="I17" i="23" s="1"/>
  <c r="I37" i="23" s="1"/>
  <c r="H37" i="23" s="1"/>
  <c r="F17" i="22"/>
  <c r="G17" i="22" s="1"/>
  <c r="L14" i="22" s="1"/>
  <c r="K20" i="3"/>
  <c r="U19" i="3" s="1"/>
  <c r="L20" i="3" s="1"/>
  <c r="E26" i="8" s="1"/>
  <c r="G23" i="8" l="1"/>
  <c r="H23" i="8" s="1"/>
  <c r="H22" i="8"/>
  <c r="AH35" i="20"/>
  <c r="AL35" i="20" s="1"/>
  <c r="AG35" i="20"/>
  <c r="H17" i="11"/>
  <c r="I17" i="11" s="1"/>
  <c r="I37" i="11" s="1"/>
  <c r="C5" i="29"/>
  <c r="S20" i="3"/>
  <c r="V31" i="11"/>
  <c r="AE31" i="11" s="1"/>
  <c r="V19" i="11"/>
  <c r="AE19" i="11" s="1"/>
  <c r="V32" i="11"/>
  <c r="AE32" i="11" s="1"/>
  <c r="V27" i="11"/>
  <c r="AE27" i="11" s="1"/>
  <c r="V20" i="11"/>
  <c r="AE20" i="11" s="1"/>
  <c r="V18" i="11"/>
  <c r="AE18" i="11" s="1"/>
  <c r="V26" i="11"/>
  <c r="V21" i="11"/>
  <c r="AE21" i="11" s="1"/>
  <c r="V36" i="11"/>
  <c r="V14" i="11"/>
  <c r="AE14" i="11" s="1"/>
  <c r="N7" i="11"/>
  <c r="V15" i="11"/>
  <c r="AE15" i="11" s="1"/>
  <c r="V13" i="11"/>
  <c r="AE13" i="11" s="1"/>
  <c r="V17" i="11"/>
  <c r="AE17" i="11" s="1"/>
  <c r="V34" i="11"/>
  <c r="AE34" i="11" s="1"/>
  <c r="V16" i="11"/>
  <c r="AE16" i="11" s="1"/>
  <c r="V33" i="11"/>
  <c r="AE33" i="11" s="1"/>
  <c r="Q14" i="22"/>
  <c r="T45" i="22" s="1"/>
  <c r="G17" i="20"/>
  <c r="L14" i="20" s="1"/>
  <c r="G17" i="18"/>
  <c r="L14" i="18" s="1"/>
  <c r="G17" i="11"/>
  <c r="G17" i="23"/>
  <c r="L14" i="23" s="1"/>
  <c r="G17" i="24"/>
  <c r="L14" i="24" s="1"/>
  <c r="H17" i="22"/>
  <c r="I17" i="22" s="1"/>
  <c r="I37" i="22" s="1"/>
  <c r="H37" i="22" s="1"/>
  <c r="O5" i="11"/>
  <c r="Q5" i="11" s="1"/>
  <c r="I23" i="8" l="1"/>
  <c r="D27" i="8" s="1"/>
  <c r="E8" i="29"/>
  <c r="E7" i="29"/>
  <c r="Q14" i="23"/>
  <c r="T45" i="23" s="1"/>
  <c r="Q14" i="20"/>
  <c r="T45" i="20" s="1"/>
  <c r="Q14" i="24"/>
  <c r="T45" i="24" s="1"/>
  <c r="V25" i="11"/>
  <c r="AE25" i="11" s="1"/>
  <c r="AE26" i="11"/>
  <c r="O8" i="11"/>
  <c r="U44" i="11" l="1"/>
  <c r="O22" i="11"/>
  <c r="V22" i="11" s="1"/>
  <c r="M35" i="11"/>
  <c r="L35" i="11" s="1"/>
  <c r="AE22" i="11" l="1"/>
  <c r="O35" i="11"/>
  <c r="V35" i="11" l="1"/>
  <c r="AE35" i="11" s="1"/>
  <c r="O38" i="11"/>
  <c r="V12" i="11"/>
  <c r="O39" i="11" l="1"/>
  <c r="D6" i="29"/>
  <c r="V38" i="11"/>
  <c r="W32" i="11" s="1"/>
  <c r="V30" i="11"/>
  <c r="U45" i="11" s="1"/>
  <c r="U43" i="11"/>
  <c r="AE12" i="11"/>
  <c r="D14" i="29" l="1"/>
  <c r="D18" i="29" s="1"/>
  <c r="E18" i="29" s="1"/>
  <c r="F18" i="29" s="1"/>
  <c r="J6" i="29" s="1"/>
  <c r="D38" i="29"/>
  <c r="E14" i="29"/>
  <c r="D30" i="29"/>
  <c r="D22" i="29"/>
  <c r="D10" i="29"/>
  <c r="E10" i="29" s="1"/>
  <c r="F10" i="29" s="1"/>
  <c r="J5" i="29" s="1"/>
  <c r="E6" i="29"/>
  <c r="V39" i="11"/>
  <c r="T7" i="11" s="1"/>
  <c r="W15" i="11"/>
  <c r="W35" i="11"/>
  <c r="W22" i="11"/>
  <c r="W13" i="11"/>
  <c r="W30" i="11"/>
  <c r="W21" i="11"/>
  <c r="W16" i="11"/>
  <c r="W17" i="11"/>
  <c r="W12" i="11"/>
  <c r="W34" i="11"/>
  <c r="W18" i="11"/>
  <c r="W19" i="11"/>
  <c r="W33" i="11"/>
  <c r="W26" i="11"/>
  <c r="W31" i="11"/>
  <c r="W14" i="11"/>
  <c r="W36" i="11"/>
  <c r="W27" i="11"/>
  <c r="W20" i="11"/>
  <c r="T5" i="11"/>
  <c r="AE38" i="11"/>
  <c r="W25" i="11"/>
  <c r="E38" i="29" l="1"/>
  <c r="D42" i="29"/>
  <c r="E42" i="29" s="1"/>
  <c r="F42" i="29" s="1"/>
  <c r="J9" i="29" s="1"/>
  <c r="M15" i="22"/>
  <c r="O15" i="22" s="1"/>
  <c r="V16" i="22" s="1"/>
  <c r="M15" i="24"/>
  <c r="O15" i="24" s="1"/>
  <c r="V16" i="24" s="1"/>
  <c r="M15" i="18"/>
  <c r="O15" i="18" s="1"/>
  <c r="V16" i="18" s="1"/>
  <c r="M15" i="23"/>
  <c r="O15" i="23" s="1"/>
  <c r="V16" i="23" s="1"/>
  <c r="M15" i="20"/>
  <c r="O15" i="20" s="1"/>
  <c r="V16" i="20" s="1"/>
  <c r="D26" i="29"/>
  <c r="E26" i="29" s="1"/>
  <c r="F26" i="29" s="1"/>
  <c r="J7" i="29" s="1"/>
  <c r="E22" i="29"/>
  <c r="D34" i="29"/>
  <c r="E34" i="29" s="1"/>
  <c r="F34" i="29" s="1"/>
  <c r="J8" i="29" s="1"/>
  <c r="E30" i="29"/>
  <c r="M14" i="22"/>
  <c r="O14" i="22" s="1"/>
  <c r="M14" i="23"/>
  <c r="O14" i="23" s="1"/>
  <c r="M14" i="24"/>
  <c r="O14" i="24" s="1"/>
  <c r="M14" i="18"/>
  <c r="O14" i="18" s="1"/>
  <c r="M14" i="20"/>
  <c r="O14" i="20" s="1"/>
  <c r="W39" i="11"/>
  <c r="V46" i="11"/>
  <c r="Q7" i="18"/>
  <c r="Q8" i="18"/>
  <c r="Q31" i="18"/>
  <c r="Q32" i="18"/>
  <c r="Q5" i="18"/>
  <c r="M18" i="22" l="1"/>
  <c r="O18" i="22" s="1"/>
  <c r="V19" i="22" s="1"/>
  <c r="AI19" i="22" s="1"/>
  <c r="AL19" i="22" s="1"/>
  <c r="M18" i="24"/>
  <c r="O18" i="24" s="1"/>
  <c r="V19" i="24" s="1"/>
  <c r="AI19" i="24" s="1"/>
  <c r="AL19" i="24" s="1"/>
  <c r="M18" i="20"/>
  <c r="O18" i="20" s="1"/>
  <c r="V19" i="20" s="1"/>
  <c r="AI19" i="20" s="1"/>
  <c r="AL19" i="20" s="1"/>
  <c r="M18" i="23"/>
  <c r="O18" i="23" s="1"/>
  <c r="V19" i="23" s="1"/>
  <c r="AI19" i="23" s="1"/>
  <c r="AL19" i="23" s="1"/>
  <c r="M18" i="18"/>
  <c r="O18" i="18" s="1"/>
  <c r="V19" i="18" s="1"/>
  <c r="AI19" i="18" s="1"/>
  <c r="AL19" i="18" s="1"/>
  <c r="L50" i="20"/>
  <c r="AC16" i="20"/>
  <c r="AI16" i="20"/>
  <c r="AC16" i="23"/>
  <c r="AI16" i="23"/>
  <c r="L50" i="23"/>
  <c r="AC16" i="18"/>
  <c r="AI16" i="18"/>
  <c r="AI16" i="24"/>
  <c r="AC16" i="24"/>
  <c r="L50" i="24"/>
  <c r="L50" i="22"/>
  <c r="AC16" i="22"/>
  <c r="AI16" i="22"/>
  <c r="M17" i="24"/>
  <c r="O17" i="24" s="1"/>
  <c r="V18" i="24" s="1"/>
  <c r="AI18" i="24" s="1"/>
  <c r="AL18" i="24" s="1"/>
  <c r="M17" i="22"/>
  <c r="O17" i="22" s="1"/>
  <c r="V18" i="22" s="1"/>
  <c r="AI18" i="22" s="1"/>
  <c r="AL18" i="22" s="1"/>
  <c r="M17" i="23"/>
  <c r="O17" i="23" s="1"/>
  <c r="V18" i="23" s="1"/>
  <c r="AI18" i="23" s="1"/>
  <c r="AL18" i="23" s="1"/>
  <c r="M17" i="18"/>
  <c r="O17" i="18" s="1"/>
  <c r="V18" i="18" s="1"/>
  <c r="AI18" i="18" s="1"/>
  <c r="AL18" i="18" s="1"/>
  <c r="M17" i="20"/>
  <c r="O17" i="20" s="1"/>
  <c r="V18" i="20" s="1"/>
  <c r="AI18" i="20" s="1"/>
  <c r="AL18" i="20" s="1"/>
  <c r="M16" i="23"/>
  <c r="O16" i="23" s="1"/>
  <c r="V17" i="23" s="1"/>
  <c r="AI17" i="23" s="1"/>
  <c r="AL17" i="23" s="1"/>
  <c r="M16" i="22"/>
  <c r="O16" i="22" s="1"/>
  <c r="V17" i="22" s="1"/>
  <c r="AI17" i="22" s="1"/>
  <c r="AL17" i="22" s="1"/>
  <c r="M16" i="20"/>
  <c r="O16" i="20" s="1"/>
  <c r="V17" i="20" s="1"/>
  <c r="AI17" i="20" s="1"/>
  <c r="AL17" i="20" s="1"/>
  <c r="M16" i="18"/>
  <c r="O16" i="18" s="1"/>
  <c r="V17" i="18" s="1"/>
  <c r="AI17" i="18" s="1"/>
  <c r="AL17" i="18" s="1"/>
  <c r="M16" i="24"/>
  <c r="O16" i="24" s="1"/>
  <c r="V17" i="24" s="1"/>
  <c r="AI17" i="24" s="1"/>
  <c r="AL17" i="24" s="1"/>
  <c r="V15" i="24"/>
  <c r="AI15" i="24" s="1"/>
  <c r="V15" i="22"/>
  <c r="AI15" i="22" s="1"/>
  <c r="V15" i="23"/>
  <c r="L49" i="23" s="1"/>
  <c r="V15" i="20"/>
  <c r="AC15" i="20" s="1"/>
  <c r="Q43" i="18"/>
  <c r="Q6" i="18"/>
  <c r="AF16" i="18" l="1"/>
  <c r="AE16" i="18"/>
  <c r="AE16" i="23"/>
  <c r="AF16" i="23"/>
  <c r="AF16" i="24"/>
  <c r="AE16" i="24"/>
  <c r="AE16" i="20"/>
  <c r="AF16" i="20"/>
  <c r="AE16" i="22"/>
  <c r="AF16" i="22"/>
  <c r="L28" i="18"/>
  <c r="M28" i="18" s="1"/>
  <c r="O28" i="18" s="1"/>
  <c r="E41" i="18" s="1"/>
  <c r="E42" i="18" s="1"/>
  <c r="E44" i="18" s="1"/>
  <c r="L28" i="20"/>
  <c r="M28" i="20" s="1"/>
  <c r="L28" i="23"/>
  <c r="M28" i="23" s="1"/>
  <c r="L28" i="24"/>
  <c r="M28" i="24" s="1"/>
  <c r="L28" i="22"/>
  <c r="M28" i="22" s="1"/>
  <c r="AC15" i="24"/>
  <c r="AF15" i="24" s="1"/>
  <c r="AG15" i="24" s="1"/>
  <c r="L49" i="24"/>
  <c r="L49" i="22"/>
  <c r="AC15" i="22"/>
  <c r="AE15" i="22" s="1"/>
  <c r="AI15" i="23"/>
  <c r="AC15" i="23"/>
  <c r="AE15" i="23" s="1"/>
  <c r="AI15" i="20"/>
  <c r="L49" i="20"/>
  <c r="AF15" i="20"/>
  <c r="AE15" i="20"/>
  <c r="M40" i="18"/>
  <c r="AH16" i="20" l="1"/>
  <c r="AL16" i="20" s="1"/>
  <c r="AG16" i="20"/>
  <c r="AG16" i="24"/>
  <c r="AL16" i="24" s="1"/>
  <c r="AH16" i="24"/>
  <c r="AH16" i="22"/>
  <c r="AL16" i="22" s="1"/>
  <c r="AG16" i="22"/>
  <c r="AG16" i="23"/>
  <c r="AH16" i="23"/>
  <c r="AL16" i="23" s="1"/>
  <c r="V28" i="18"/>
  <c r="AI28" i="18" s="1"/>
  <c r="AG16" i="18"/>
  <c r="AH16" i="18"/>
  <c r="AL16" i="18" s="1"/>
  <c r="O28" i="22"/>
  <c r="V28" i="22" s="1"/>
  <c r="V14" i="22" s="1"/>
  <c r="AI14" i="22" s="1"/>
  <c r="O28" i="23"/>
  <c r="O42" i="23" s="1"/>
  <c r="O44" i="23" s="1"/>
  <c r="O28" i="20"/>
  <c r="O28" i="24"/>
  <c r="E41" i="24" s="1"/>
  <c r="E42" i="24" s="1"/>
  <c r="E44" i="24" s="1"/>
  <c r="E46" i="24" s="1"/>
  <c r="AH15" i="24"/>
  <c r="AL15" i="24" s="1"/>
  <c r="AE15" i="24"/>
  <c r="AF15" i="22"/>
  <c r="AG15" i="22" s="1"/>
  <c r="AF15" i="23"/>
  <c r="AG15" i="23" s="1"/>
  <c r="AH15" i="20"/>
  <c r="AL15" i="20" s="1"/>
  <c r="AG15" i="20"/>
  <c r="O40" i="18"/>
  <c r="L40" i="18"/>
  <c r="V20" i="18"/>
  <c r="Q14" i="18"/>
  <c r="T45" i="18" s="1"/>
  <c r="V15" i="18"/>
  <c r="V28" i="24" l="1"/>
  <c r="AI28" i="24" s="1"/>
  <c r="E41" i="23"/>
  <c r="E42" i="23" s="1"/>
  <c r="E44" i="23" s="1"/>
  <c r="E46" i="23" s="1"/>
  <c r="O42" i="22"/>
  <c r="O44" i="22" s="1"/>
  <c r="E41" i="22"/>
  <c r="E42" i="22" s="1"/>
  <c r="E44" i="22" s="1"/>
  <c r="E46" i="22" s="1"/>
  <c r="AC28" i="18"/>
  <c r="AE28" i="18" s="1"/>
  <c r="V42" i="22"/>
  <c r="W24" i="22" s="1"/>
  <c r="AC28" i="22"/>
  <c r="AE28" i="22" s="1"/>
  <c r="AI28" i="22"/>
  <c r="E41" i="20"/>
  <c r="E42" i="20" s="1"/>
  <c r="E44" i="20" s="1"/>
  <c r="E46" i="20" s="1"/>
  <c r="O42" i="20"/>
  <c r="O44" i="20" s="1"/>
  <c r="V28" i="20"/>
  <c r="V28" i="23"/>
  <c r="O42" i="24"/>
  <c r="O44" i="24" s="1"/>
  <c r="AH15" i="22"/>
  <c r="AL15" i="22" s="1"/>
  <c r="AH15" i="23"/>
  <c r="AL15" i="23" s="1"/>
  <c r="AC14" i="22"/>
  <c r="AF14" i="22" s="1"/>
  <c r="AC15" i="18"/>
  <c r="AI15" i="18"/>
  <c r="AI20" i="18"/>
  <c r="AC20" i="18"/>
  <c r="V40" i="18"/>
  <c r="E45" i="18"/>
  <c r="E46" i="18" s="1"/>
  <c r="V14" i="18"/>
  <c r="U53" i="22"/>
  <c r="L53" i="22"/>
  <c r="O42" i="18"/>
  <c r="O44" i="18" s="1"/>
  <c r="AF28" i="18" l="1"/>
  <c r="AG28" i="18" s="1"/>
  <c r="AC28" i="24"/>
  <c r="AF28" i="24" s="1"/>
  <c r="AH28" i="24" s="1"/>
  <c r="AL28" i="24" s="1"/>
  <c r="V42" i="24"/>
  <c r="W19" i="24" s="1"/>
  <c r="V14" i="24"/>
  <c r="AI14" i="24" s="1"/>
  <c r="W17" i="22"/>
  <c r="W37" i="22"/>
  <c r="W28" i="22"/>
  <c r="W35" i="22"/>
  <c r="W15" i="22"/>
  <c r="W14" i="22"/>
  <c r="W31" i="22"/>
  <c r="W26" i="22"/>
  <c r="AF28" i="22"/>
  <c r="AG28" i="22" s="1"/>
  <c r="W23" i="22"/>
  <c r="W32" i="22"/>
  <c r="W39" i="22"/>
  <c r="W21" i="22"/>
  <c r="W36" i="22"/>
  <c r="W19" i="22"/>
  <c r="W25" i="22"/>
  <c r="W27" i="22"/>
  <c r="W30" i="22"/>
  <c r="W38" i="22"/>
  <c r="W40" i="22"/>
  <c r="W18" i="22"/>
  <c r="W20" i="22"/>
  <c r="W16" i="22"/>
  <c r="W22" i="22"/>
  <c r="V14" i="23"/>
  <c r="V42" i="23"/>
  <c r="V42" i="20"/>
  <c r="V14" i="20"/>
  <c r="AC28" i="23"/>
  <c r="AI28" i="23"/>
  <c r="AI28" i="20"/>
  <c r="AC28" i="20"/>
  <c r="V44" i="22"/>
  <c r="T8" i="22" s="1"/>
  <c r="AI42" i="22"/>
  <c r="AC42" i="22"/>
  <c r="T5" i="22"/>
  <c r="AE14" i="22"/>
  <c r="V35" i="18"/>
  <c r="AI40" i="18"/>
  <c r="AC40" i="18"/>
  <c r="AI14" i="18"/>
  <c r="AC14" i="18"/>
  <c r="AF20" i="18"/>
  <c r="AE20" i="18"/>
  <c r="AG14" i="22"/>
  <c r="AH14" i="22"/>
  <c r="AF15" i="18"/>
  <c r="AE15" i="18"/>
  <c r="V42" i="18"/>
  <c r="Z14" i="18"/>
  <c r="Z42" i="18"/>
  <c r="Z35" i="18"/>
  <c r="Z30" i="18"/>
  <c r="AH28" i="18" l="1"/>
  <c r="AL28" i="18" s="1"/>
  <c r="AG28" i="24"/>
  <c r="AE28" i="24"/>
  <c r="L53" i="24"/>
  <c r="AC14" i="24"/>
  <c r="AF14" i="24" s="1"/>
  <c r="AG14" i="24" s="1"/>
  <c r="W40" i="24"/>
  <c r="W20" i="24"/>
  <c r="W22" i="24"/>
  <c r="W24" i="24"/>
  <c r="T5" i="24"/>
  <c r="W14" i="24"/>
  <c r="W18" i="24"/>
  <c r="W28" i="24"/>
  <c r="W21" i="24"/>
  <c r="W36" i="24"/>
  <c r="U53" i="24"/>
  <c r="W27" i="24"/>
  <c r="W39" i="24"/>
  <c r="W37" i="24"/>
  <c r="W16" i="24"/>
  <c r="W15" i="24"/>
  <c r="W35" i="24"/>
  <c r="W32" i="24"/>
  <c r="W23" i="24"/>
  <c r="W30" i="24"/>
  <c r="AC42" i="24"/>
  <c r="AE42" i="24" s="1"/>
  <c r="W17" i="24"/>
  <c r="W25" i="24"/>
  <c r="W38" i="24"/>
  <c r="V44" i="24"/>
  <c r="T8" i="24" s="1"/>
  <c r="AI42" i="24"/>
  <c r="W31" i="24"/>
  <c r="W26" i="24"/>
  <c r="AH28" i="22"/>
  <c r="AL28" i="22" s="1"/>
  <c r="V44" i="23"/>
  <c r="T8" i="23" s="1"/>
  <c r="W15" i="23"/>
  <c r="W25" i="23"/>
  <c r="W37" i="23"/>
  <c r="W23" i="23"/>
  <c r="W19" i="23"/>
  <c r="T5" i="23"/>
  <c r="W21" i="23"/>
  <c r="W38" i="23"/>
  <c r="W30" i="23"/>
  <c r="W18" i="23"/>
  <c r="W20" i="23"/>
  <c r="W27" i="23"/>
  <c r="AC42" i="23"/>
  <c r="W24" i="23"/>
  <c r="W40" i="23"/>
  <c r="W16" i="23"/>
  <c r="W35" i="23"/>
  <c r="W32" i="23"/>
  <c r="W39" i="23"/>
  <c r="AI42" i="23"/>
  <c r="W17" i="23"/>
  <c r="W22" i="23"/>
  <c r="W31" i="23"/>
  <c r="W14" i="23"/>
  <c r="W28" i="23"/>
  <c r="W26" i="23"/>
  <c r="W36" i="23"/>
  <c r="U53" i="23"/>
  <c r="L53" i="23"/>
  <c r="AI14" i="23"/>
  <c r="AC14" i="23"/>
  <c r="AI14" i="20"/>
  <c r="U53" i="20"/>
  <c r="AC14" i="20"/>
  <c r="L53" i="20"/>
  <c r="W39" i="20"/>
  <c r="W37" i="20"/>
  <c r="W28" i="20"/>
  <c r="W22" i="20"/>
  <c r="W18" i="20"/>
  <c r="W25" i="20"/>
  <c r="W23" i="20"/>
  <c r="W15" i="20"/>
  <c r="W35" i="20"/>
  <c r="W31" i="20"/>
  <c r="W26" i="20"/>
  <c r="W24" i="20"/>
  <c r="W36" i="20"/>
  <c r="W30" i="20"/>
  <c r="AI42" i="20"/>
  <c r="W19" i="20"/>
  <c r="W20" i="20"/>
  <c r="W27" i="20"/>
  <c r="T5" i="20"/>
  <c r="W16" i="20"/>
  <c r="W14" i="20"/>
  <c r="W38" i="20"/>
  <c r="W32" i="20"/>
  <c r="W17" i="20"/>
  <c r="W40" i="20"/>
  <c r="V44" i="20"/>
  <c r="T8" i="20" s="1"/>
  <c r="W21" i="20"/>
  <c r="AC42" i="20"/>
  <c r="AF42" i="22"/>
  <c r="AE42" i="22"/>
  <c r="AF28" i="20"/>
  <c r="AE28" i="20"/>
  <c r="AF28" i="23"/>
  <c r="AE28" i="23"/>
  <c r="AA38" i="18"/>
  <c r="AA32" i="18"/>
  <c r="AA37" i="18"/>
  <c r="AA39" i="18"/>
  <c r="AA30" i="18"/>
  <c r="AA25" i="18"/>
  <c r="AA21" i="18"/>
  <c r="AA17" i="18"/>
  <c r="AA36" i="18"/>
  <c r="AA28" i="18"/>
  <c r="AA24" i="18"/>
  <c r="AA20" i="18"/>
  <c r="AA16" i="18"/>
  <c r="AA27" i="18"/>
  <c r="AA19" i="18"/>
  <c r="AA31" i="18"/>
  <c r="AA14" i="18"/>
  <c r="AA40" i="18"/>
  <c r="AA26" i="18"/>
  <c r="AA18" i="18"/>
  <c r="AA35" i="18"/>
  <c r="AA23" i="18"/>
  <c r="AA15" i="18"/>
  <c r="AA22" i="18"/>
  <c r="AL14" i="22"/>
  <c r="AG15" i="18"/>
  <c r="AH15" i="18"/>
  <c r="AF40" i="18"/>
  <c r="AE40" i="18"/>
  <c r="T5" i="18"/>
  <c r="AI42" i="18"/>
  <c r="AC42" i="18"/>
  <c r="AG20" i="18"/>
  <c r="AH20" i="18"/>
  <c r="AL20" i="18" s="1"/>
  <c r="AC35" i="18"/>
  <c r="AI35" i="18"/>
  <c r="L55" i="18"/>
  <c r="W54" i="18"/>
  <c r="W55" i="18"/>
  <c r="W53" i="18"/>
  <c r="L49" i="18"/>
  <c r="L50" i="18"/>
  <c r="L52" i="18"/>
  <c r="L51" i="18"/>
  <c r="AH14" i="24" l="1"/>
  <c r="AL14" i="24" s="1"/>
  <c r="AF42" i="24"/>
  <c r="AH42" i="24" s="1"/>
  <c r="AE14" i="24"/>
  <c r="AF14" i="23"/>
  <c r="AE14" i="23"/>
  <c r="AF42" i="23"/>
  <c r="AE42" i="23"/>
  <c r="AE14" i="20"/>
  <c r="AF14" i="20"/>
  <c r="AE42" i="20"/>
  <c r="AF42" i="20"/>
  <c r="AG28" i="23"/>
  <c r="AH28" i="23"/>
  <c r="AL28" i="23" s="1"/>
  <c r="AH28" i="20"/>
  <c r="AL28" i="20" s="1"/>
  <c r="AG28" i="20"/>
  <c r="AG42" i="22"/>
  <c r="AH42" i="22"/>
  <c r="AL15" i="18"/>
  <c r="AH40" i="18"/>
  <c r="AG40" i="18"/>
  <c r="W40" i="18"/>
  <c r="W36" i="18"/>
  <c r="W30" i="18"/>
  <c r="W25" i="18"/>
  <c r="W21" i="18"/>
  <c r="W17" i="18"/>
  <c r="W39" i="18"/>
  <c r="W35" i="18"/>
  <c r="W28" i="18"/>
  <c r="W24" i="18"/>
  <c r="W20" i="18"/>
  <c r="W16" i="18"/>
  <c r="W38" i="18"/>
  <c r="W32" i="18"/>
  <c r="W27" i="18"/>
  <c r="W23" i="18"/>
  <c r="W19" i="18"/>
  <c r="W15" i="18"/>
  <c r="W37" i="18"/>
  <c r="W31" i="18"/>
  <c r="W26" i="18"/>
  <c r="W22" i="18"/>
  <c r="W18" i="18"/>
  <c r="W14" i="18"/>
  <c r="U53" i="18"/>
  <c r="U55" i="18"/>
  <c r="U54" i="18"/>
  <c r="V44" i="18"/>
  <c r="T8" i="18" s="1"/>
  <c r="L54" i="18"/>
  <c r="L53" i="18"/>
  <c r="AG42" i="24" l="1"/>
  <c r="AL42" i="24" s="1"/>
  <c r="AL42" i="22"/>
  <c r="AH42" i="23"/>
  <c r="AG42" i="23"/>
  <c r="AG14" i="23"/>
  <c r="AH14" i="23"/>
  <c r="AH42" i="20"/>
  <c r="AL42" i="20" s="1"/>
  <c r="AG42" i="20"/>
  <c r="AG14" i="20"/>
  <c r="AH14" i="20"/>
  <c r="AL14" i="20" s="1"/>
  <c r="AL40" i="18"/>
  <c r="X42" i="18"/>
  <c r="X14" i="18"/>
  <c r="AD14" i="18" s="1"/>
  <c r="X35" i="18"/>
  <c r="AD35" i="18" s="1"/>
  <c r="X30" i="18"/>
  <c r="AD30" i="18" s="1"/>
  <c r="AL42" i="23" l="1"/>
  <c r="AL14" i="23"/>
  <c r="AD42" i="18"/>
  <c r="Y40" i="18"/>
  <c r="Y36" i="18"/>
  <c r="Y30" i="18"/>
  <c r="Y25" i="18"/>
  <c r="Y21" i="18"/>
  <c r="Y17" i="18"/>
  <c r="Y39" i="18"/>
  <c r="Y35" i="18"/>
  <c r="Y28" i="18"/>
  <c r="Y24" i="18"/>
  <c r="Y20" i="18"/>
  <c r="Y16" i="18"/>
  <c r="Y38" i="18"/>
  <c r="Y27" i="18"/>
  <c r="Y19" i="18"/>
  <c r="Y26" i="18"/>
  <c r="Y23" i="18"/>
  <c r="Y31" i="18"/>
  <c r="Y14" i="18"/>
  <c r="Y37" i="18"/>
  <c r="Y18" i="18"/>
  <c r="Y32" i="18"/>
  <c r="Y15" i="18"/>
  <c r="Y22" i="18"/>
  <c r="AE30" i="18"/>
  <c r="AF30" i="18"/>
  <c r="AE35" i="18"/>
  <c r="AF35" i="18"/>
  <c r="AF42" i="18"/>
  <c r="AE42" i="18"/>
  <c r="AE14" i="18"/>
  <c r="AF14" i="18"/>
  <c r="V54" i="18"/>
  <c r="V53" i="18"/>
  <c r="V55" i="18"/>
  <c r="AG35" i="18" l="1"/>
  <c r="AH35" i="18"/>
  <c r="AL35" i="18" s="1"/>
  <c r="AH42" i="18"/>
  <c r="AG42" i="18"/>
  <c r="AG30" i="18"/>
  <c r="AH30" i="18"/>
  <c r="AL30" i="18" s="1"/>
  <c r="AG14" i="18"/>
  <c r="AH14" i="18"/>
  <c r="AL14" i="18" l="1"/>
  <c r="AL42" i="1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Savonia</author>
  </authors>
  <commentList>
    <comment ref="F12" authorId="0" shapeId="0" xr:uid="{00000000-0006-0000-0000-000001000000}">
      <text>
        <r>
          <rPr>
            <sz val="9"/>
            <color rgb="FF000000"/>
            <rFont val="Tahoma"/>
            <family val="2"/>
          </rPr>
          <t>Tavanomainen vai luomutuotanto</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pmohanvi</author>
    <author>Savonia</author>
  </authors>
  <commentList>
    <comment ref="E4" authorId="0" shapeId="0" xr:uid="{00000000-0006-0000-0A00-000001000000}">
      <text>
        <r>
          <rPr>
            <sz val="8"/>
            <color indexed="81"/>
            <rFont val="Tahoma"/>
            <family val="2"/>
          </rPr>
          <t xml:space="preserve">Lehmän, emolehmän ja siitossonnin eläinmääriksi määritetään niiden lukumäärä tilalla keskimäärin vuodessa. 
Uudistushiehon ja lihanaudan eläinmääriksi määritetaan:
   Uudistushieho: </t>
        </r>
        <r>
          <rPr>
            <b/>
            <sz val="8"/>
            <color indexed="81"/>
            <rFont val="Tahoma"/>
            <family val="2"/>
          </rPr>
          <t>Poikineita hiehoja keskimäärin vuodessa</t>
        </r>
        <r>
          <rPr>
            <sz val="8"/>
            <color indexed="81"/>
            <rFont val="Tahoma"/>
            <family val="2"/>
          </rPr>
          <t xml:space="preserve"> 
      (lehmämäärä x uudistus-%)
   Lihanauta: </t>
        </r>
        <r>
          <rPr>
            <b/>
            <sz val="8"/>
            <color indexed="81"/>
            <rFont val="Tahoma"/>
            <family val="2"/>
          </rPr>
          <t>Teuraaksi myytyjä eläimiä keskimäärin vuodessa</t>
        </r>
        <r>
          <rPr>
            <sz val="8"/>
            <color indexed="81"/>
            <rFont val="Tahoma"/>
            <family val="2"/>
          </rPr>
          <t xml:space="preserve">
      (Laskelmassa ei siis käytetä hiehojen ja lihanautojen lukumäärä tilalla keskimäärin vuodessa)</t>
        </r>
      </text>
    </comment>
    <comment ref="F4" authorId="0" shapeId="0" xr:uid="{00000000-0006-0000-0A00-000002000000}">
      <text>
        <r>
          <rPr>
            <sz val="8"/>
            <color indexed="81"/>
            <rFont val="Tahoma"/>
            <family val="2"/>
          </rPr>
          <t xml:space="preserve">Määritä tuotantoeläinten keskimääräiset </t>
        </r>
        <r>
          <rPr>
            <u/>
            <sz val="8"/>
            <color indexed="81"/>
            <rFont val="Tahoma"/>
            <family val="2"/>
          </rPr>
          <t>vuosituotokset</t>
        </r>
        <r>
          <rPr>
            <sz val="8"/>
            <color indexed="81"/>
            <rFont val="Tahoma"/>
            <family val="2"/>
          </rPr>
          <t xml:space="preserve">:
 Lehmä: Keskituotos eli </t>
        </r>
        <r>
          <rPr>
            <b/>
            <sz val="8"/>
            <color indexed="81"/>
            <rFont val="Tahoma"/>
            <family val="2"/>
          </rPr>
          <t>kg maitoa vuodessa / lehmä</t>
        </r>
        <r>
          <rPr>
            <sz val="8"/>
            <color indexed="81"/>
            <rFont val="Tahoma"/>
            <family val="2"/>
          </rPr>
          <t xml:space="preserve">
 Emolehmä: Tuotettu </t>
        </r>
        <r>
          <rPr>
            <b/>
            <sz val="8"/>
            <color indexed="81"/>
            <rFont val="Tahoma"/>
            <family val="2"/>
          </rPr>
          <t>pihvivasikoita kpl vuodessa / emolehmä</t>
        </r>
        <r>
          <rPr>
            <sz val="8"/>
            <color indexed="81"/>
            <rFont val="Tahoma"/>
            <family val="2"/>
          </rPr>
          <t xml:space="preserve">
     </t>
        </r>
        <r>
          <rPr>
            <b/>
            <sz val="8"/>
            <color indexed="81"/>
            <rFont val="Tahoma"/>
            <family val="2"/>
          </rPr>
          <t xml:space="preserve"> Pihvivasikan tuotanto:</t>
        </r>
        <r>
          <rPr>
            <sz val="8"/>
            <color indexed="81"/>
            <rFont val="Tahoma"/>
            <family val="2"/>
          </rPr>
          <t xml:space="preserve"> Määritä pihvivasikan keskihinta sivulla </t>
        </r>
        <r>
          <rPr>
            <i/>
            <sz val="8"/>
            <color indexed="81"/>
            <rFont val="Tahoma"/>
            <family val="2"/>
          </rPr>
          <t>Emolehmän tuotantokustannus</t>
        </r>
        <r>
          <rPr>
            <sz val="8"/>
            <color indexed="81"/>
            <rFont val="Tahoma"/>
            <family val="2"/>
          </rPr>
          <t xml:space="preserve">
      </t>
        </r>
        <r>
          <rPr>
            <b/>
            <sz val="8"/>
            <color indexed="81"/>
            <rFont val="Tahoma"/>
            <family val="2"/>
          </rPr>
          <t>Yhdistelmätuotanto:</t>
        </r>
        <r>
          <rPr>
            <sz val="8"/>
            <color indexed="81"/>
            <rFont val="Tahoma"/>
            <family val="2"/>
          </rPr>
          <t xml:space="preserve"> Määritä tuotettu (myyty) teuraseläimiä kpl ja keskimääräinen teuraspaino-kg
      rivillä 5-6: Lihasonni ja lihahieho
Määritä kasvatuseläinten tuotokset </t>
        </r>
        <r>
          <rPr>
            <u/>
            <sz val="8"/>
            <color indexed="81"/>
            <rFont val="Tahoma"/>
            <family val="2"/>
          </rPr>
          <t>kasvatusajalle</t>
        </r>
        <r>
          <rPr>
            <sz val="8"/>
            <color indexed="81"/>
            <rFont val="Tahoma"/>
            <family val="2"/>
          </rPr>
          <t xml:space="preserve">:
 Hieho (uudistus): </t>
        </r>
        <r>
          <rPr>
            <b/>
            <sz val="8"/>
            <color indexed="81"/>
            <rFont val="Tahoma"/>
            <family val="2"/>
          </rPr>
          <t>Uudistushiehon tuotos on 1</t>
        </r>
        <r>
          <rPr>
            <sz val="8"/>
            <color indexed="81"/>
            <rFont val="Tahoma"/>
            <family val="2"/>
          </rPr>
          <t xml:space="preserve">, joka tarkoittaa, että hiehon kasvatusaikana on tuotettu yksi poikiva hieho.
      Uudistushiehon hinnan voit tarvittaessa määrittää sivulla </t>
        </r>
        <r>
          <rPr>
            <i/>
            <sz val="8"/>
            <color indexed="81"/>
            <rFont val="Tahoma"/>
            <family val="2"/>
          </rPr>
          <t>Maidon tai Emolehmän tuotantokustannus</t>
        </r>
        <r>
          <rPr>
            <sz val="8"/>
            <color indexed="81"/>
            <rFont val="Tahoma"/>
            <family val="2"/>
          </rPr>
          <t xml:space="preserve">
 Lihanauta: Keskimääräinen teuraspaino eli </t>
        </r>
        <r>
          <rPr>
            <b/>
            <sz val="8"/>
            <color indexed="81"/>
            <rFont val="Tahoma"/>
            <family val="2"/>
          </rPr>
          <t>kg lihaa kasvatusaikana / lihanauta</t>
        </r>
        <r>
          <rPr>
            <sz val="8"/>
            <color indexed="81"/>
            <rFont val="Tahoma"/>
            <family val="2"/>
          </rPr>
          <t xml:space="preserve">
</t>
        </r>
      </text>
    </comment>
    <comment ref="G4" authorId="1" shapeId="0" xr:uid="{00000000-0006-0000-0A00-000003000000}">
      <text>
        <r>
          <rPr>
            <b/>
            <sz val="9"/>
            <color indexed="81"/>
            <rFont val="Tahoma"/>
            <family val="2"/>
          </rPr>
          <t>Muuta tarvittaessa tuotosta</t>
        </r>
        <r>
          <rPr>
            <sz val="9"/>
            <color indexed="81"/>
            <rFont val="Tahoma"/>
            <family val="2"/>
          </rPr>
          <t xml:space="preserve"> siten, että Tuotanto yhteensä vuodessa vastaa käytäntöä.</t>
        </r>
      </text>
    </comment>
    <comment ref="K7" authorId="1" shapeId="0" xr:uid="{00000000-0006-0000-0A00-000004000000}">
      <text>
        <r>
          <rPr>
            <sz val="9"/>
            <color indexed="81"/>
            <rFont val="Tahoma"/>
            <family val="2"/>
          </rPr>
          <t>Esim. poistolehmän ja siitossonnin myynti, €/vuosi</t>
        </r>
      </text>
    </comment>
    <comment ref="M13" authorId="1" shapeId="0" xr:uid="{00000000-0006-0000-0A00-000005000000}">
      <text>
        <r>
          <rPr>
            <b/>
            <sz val="9"/>
            <color indexed="81"/>
            <rFont val="Tahoma"/>
            <family val="2"/>
          </rPr>
          <t>Rehujen hintana käytetään  tuotantokustannusta miinus peltoviljelyn tuet</t>
        </r>
        <r>
          <rPr>
            <sz val="9"/>
            <color indexed="81"/>
            <rFont val="Tahoma"/>
            <family val="2"/>
          </rPr>
          <t xml:space="preserve">
Voit kokeilla laskelmassa tuotantokustannuksen sijaan markkinahintaa ja vertailla muutosta tuotantokustannushintaan.
-&gt; Tallenna testiversio eri nimellä!
Vertailu paljastaa rehuntuotannon kalleuden / edullisuuden.
</t>
        </r>
        <r>
          <rPr>
            <b/>
            <sz val="9"/>
            <color indexed="81"/>
            <rFont val="Tahoma"/>
            <family val="2"/>
          </rPr>
          <t xml:space="preserve">Huom! </t>
        </r>
        <r>
          <rPr>
            <sz val="9"/>
            <color indexed="81"/>
            <rFont val="Tahoma"/>
            <family val="2"/>
          </rPr>
          <t>Luomutuotannossa tai laajaperäisessä viljelyssä tuotantokustannus miinus tuet voi olla miinusmerkkinen eli tukien osuus on suurempi kuin tuotannosta aiheutuu kustannuksia, jolloin kyseinen rehukustannuskin on miinusmerkkinen.</t>
        </r>
      </text>
    </comment>
    <comment ref="I15" authorId="0" shapeId="0" xr:uid="{00000000-0006-0000-0A00-000006000000}">
      <text>
        <r>
          <rPr>
            <sz val="8"/>
            <color indexed="81"/>
            <rFont val="Tahoma"/>
            <family val="2"/>
          </rPr>
          <t>MJ-sato (MJ/ha) kerrottuna viljelyalalla</t>
        </r>
      </text>
    </comment>
    <comment ref="D27" authorId="1" shapeId="0" xr:uid="{00000000-0006-0000-0A00-000007000000}">
      <text>
        <r>
          <rPr>
            <sz val="9"/>
            <color indexed="81"/>
            <rFont val="Tahoma"/>
            <family val="2"/>
          </rPr>
          <t>Tee erittely alla olevaan taulukkoon!</t>
        </r>
      </text>
    </comment>
    <comment ref="Q27" authorId="1" shapeId="0" xr:uid="{00000000-0006-0000-0A00-000008000000}">
      <text>
        <r>
          <rPr>
            <sz val="9"/>
            <color indexed="81"/>
            <rFont val="Tahoma"/>
            <family val="2"/>
          </rPr>
          <t>Uudistushiehon keskimääräinen markkinahinta</t>
        </r>
      </text>
    </comment>
    <comment ref="D28" authorId="1" shapeId="0" xr:uid="{00000000-0006-0000-0A00-000009000000}">
      <text>
        <r>
          <rPr>
            <sz val="9"/>
            <color indexed="81"/>
            <rFont val="Tahoma"/>
            <family val="2"/>
          </rPr>
          <t>Tee erittely alla olevaan taulukkoon!</t>
        </r>
      </text>
    </comment>
    <comment ref="Q28" authorId="1" shapeId="0" xr:uid="{00000000-0006-0000-0A00-00000A000000}">
      <text>
        <r>
          <rPr>
            <sz val="9"/>
            <color indexed="81"/>
            <rFont val="Tahoma"/>
            <family val="2"/>
          </rPr>
          <t>Liikepääomaprosentti on mallilaskelmista (tuottopuntari.fi)
Liikepääomaprosentti kertoo kuinka pitkäksi aikaa pääoma (tuotantopanokset + palkkavaatimus) keskimäärin sitoutuu tuotantoon.
Esim. 50 % tarkoittaa, että pääoma sitoutuu tuotantoon keskimäärin puoleksi vuodeksi.</t>
        </r>
      </text>
    </comment>
    <comment ref="D29" authorId="1" shapeId="0" xr:uid="{00000000-0006-0000-0A00-00000B000000}">
      <text>
        <r>
          <rPr>
            <sz val="9"/>
            <color indexed="81"/>
            <rFont val="Tahoma"/>
            <family val="2"/>
          </rPr>
          <t>Tee erittely alla olevaan taulukkoon!</t>
        </r>
      </text>
    </comment>
    <comment ref="L30" authorId="1" shapeId="0" xr:uid="{00000000-0006-0000-0A00-00000C000000}">
      <text>
        <r>
          <rPr>
            <sz val="9"/>
            <color indexed="81"/>
            <rFont val="Tahoma"/>
            <family val="2"/>
          </rPr>
          <t>Kotieläintuotannon työtunteja keskimäärin / päivä</t>
        </r>
      </text>
    </comment>
    <comment ref="L35" authorId="1" shapeId="0" xr:uid="{DCF6EDC9-8621-4056-BD72-EB1B3DAA9F98}">
      <text>
        <r>
          <rPr>
            <sz val="9"/>
            <color indexed="81"/>
            <rFont val="Tahoma"/>
            <family val="2"/>
          </rPr>
          <t xml:space="preserve">Määritä </t>
        </r>
        <r>
          <rPr>
            <b/>
            <sz val="9"/>
            <color indexed="81"/>
            <rFont val="Tahoma"/>
            <family val="2"/>
          </rPr>
          <t>kotieläintuotannon</t>
        </r>
        <r>
          <rPr>
            <sz val="9"/>
            <color indexed="81"/>
            <rFont val="Tahoma"/>
            <family val="2"/>
          </rPr>
          <t xml:space="preserve"> kone- ja rakennuspääoma </t>
        </r>
        <r>
          <rPr>
            <i/>
            <sz val="9"/>
            <color indexed="81"/>
            <rFont val="Tahoma"/>
            <family val="2"/>
          </rPr>
          <t>Lähtötiedot</t>
        </r>
        <r>
          <rPr>
            <sz val="9"/>
            <color indexed="81"/>
            <rFont val="Tahoma"/>
            <family val="2"/>
          </rPr>
          <t xml:space="preserve">-sivulla, jonka perusteella lasketaan kiinteät kustannukset: Poisto, korko ja kunnossapito.
Laskelmassa on oletuksena, että poistojen määrä on sama kuin keskimääräiset kone- ja rakennushankinnat vuodessa. 
Kun koneiden ja rakennusten vuosipoisto on sama kuin keskimääräiset hankinnat vuodessa, niin pääoma pysyy samana! Kehittävällä tilalla käytännössä lisääntyvät kone- ja rakennushankinnat voivat ylittää laskennalliset poistot, mutta tällä laskentatavalla uudet rakennusinvestoinnit näkyvät suoraan kiinteiden kustannusten kasvuna. 
Määritä käyttöaika koneille ja rakennuksille lähtötiedoissa siten, että laskelmassa huomioidaan aikaisemmin tehdyt investoinnit. 
Esim. navetta on rakennettu 20 vuotta sitten ja investointia varten otetusta lainasta on edelleen osa maksamatta: Määritä navetan käyttöajaksi 20 vuotta ja laske rakennusinvestoinnit yhteensä 20 vuodelta mukaan lukien navetta.
Kone- ja rakennuspääoman oletetaan olevan sama kuin käyttöajan kone- ja rakennushankintojen yhteismäärä. 
</t>
        </r>
      </text>
    </comment>
    <comment ref="Q36" authorId="1" shapeId="0" xr:uid="{00000000-0006-0000-0A00-00000E000000}">
      <text>
        <r>
          <rPr>
            <sz val="9"/>
            <color indexed="81"/>
            <rFont val="Tahoma"/>
            <family val="2"/>
          </rPr>
          <t>Koneiden ja laitteiden keskimääräinen kunnossapitoprosentti hankintahinnasta
(vertailulaskelmissa 3%)</t>
        </r>
      </text>
    </comment>
    <comment ref="Q37" authorId="1" shapeId="0" xr:uid="{00000000-0006-0000-0A00-00000F000000}">
      <text>
        <r>
          <rPr>
            <sz val="9"/>
            <color indexed="81"/>
            <rFont val="Tahoma"/>
            <family val="2"/>
          </rPr>
          <t>Rakennusten keskimääräinen kunnossapitoprosentti hankintahinnasta
(vertailulaskelmissa 1%)</t>
        </r>
      </text>
    </comment>
    <comment ref="K38" authorId="1" shapeId="0" xr:uid="{00000000-0006-0000-0A00-000010000000}">
      <text>
        <r>
          <rPr>
            <sz val="9"/>
            <color indexed="81"/>
            <rFont val="Tahoma"/>
            <family val="2"/>
          </rPr>
          <t xml:space="preserve">Kirjanpidosta: Koneiden ja laitteiden sekä rakennusten huolto- ja kunnossapitomenot, €/vuosi
</t>
        </r>
        <r>
          <rPr>
            <b/>
            <sz val="9"/>
            <color indexed="81"/>
            <rFont val="Tahoma"/>
            <family val="2"/>
          </rPr>
          <t>tai</t>
        </r>
        <r>
          <rPr>
            <sz val="9"/>
            <color indexed="81"/>
            <rFont val="Tahoma"/>
            <family val="2"/>
          </rPr>
          <t xml:space="preserve"> 
Arvio: Kone - ja rakennuspääoma kertaa kp-% (Q33)</t>
        </r>
      </text>
    </comment>
    <comment ref="Q38" authorId="1" shapeId="0" xr:uid="{00000000-0006-0000-0A00-000011000000}">
      <text>
        <r>
          <rPr>
            <sz val="9"/>
            <color indexed="81"/>
            <rFont val="Tahoma"/>
            <family val="2"/>
          </rPr>
          <t>Tähän on laskettu arvio koneiden ja laitteiden sekä rakennusten kunnossapitokustannuksista, €/ha
Muuta tarvittaessa kunnossapitoprosentteja (kp-%) edellisissä kohdissa</t>
        </r>
      </text>
    </comment>
    <comment ref="Q39" authorId="1" shapeId="0" xr:uid="{00000000-0006-0000-0A00-000012000000}">
      <text>
        <r>
          <rPr>
            <sz val="9"/>
            <color indexed="81"/>
            <rFont val="Tahoma"/>
            <family val="2"/>
          </rPr>
          <t>Keskimääräinen pääoman korko (vertailulaskelmissa 5
%)</t>
        </r>
      </text>
    </comment>
    <comment ref="K40" authorId="1" shapeId="0" xr:uid="{00000000-0006-0000-0A00-000013000000}">
      <text>
        <r>
          <rPr>
            <sz val="9"/>
            <color indexed="81"/>
            <rFont val="Tahoma"/>
            <family val="2"/>
          </rPr>
          <t>Yleiskustannus on arvioitu:
Liikevaihto (tuotot + tuet) x 6%*
   *muuta prosenttia tarvittaessa kohdassa Q40
Yleiskustannus tarkoittaa kaikkia niitä tuotantoon liittyviä kustannuksia, joita ei ole laskettu edellä muuttuviin, työ tai kiinteisiin kustannuksiin.
Yleiskustannuksia ovat esimerkiksi: Myel ja Mata, sähkö, vesi, jäte, puhelin ym.</t>
        </r>
      </text>
    </comment>
    <comment ref="Q40" authorId="1" shapeId="0" xr:uid="{00000000-0006-0000-0A00-000014000000}">
      <text>
        <r>
          <rPr>
            <sz val="9"/>
            <color indexed="81"/>
            <rFont val="Tahoma"/>
            <family val="2"/>
          </rPr>
          <t xml:space="preserve">Yleiskustannusten osuus on keskimäärin 6% liikevaihdosta (tuotot + tuet) </t>
        </r>
      </text>
    </comment>
    <comment ref="N42" authorId="1" shapeId="0" xr:uid="{00000000-0006-0000-0A00-000015000000}">
      <text>
        <r>
          <rPr>
            <sz val="9"/>
            <color indexed="81"/>
            <rFont val="Tahoma"/>
            <family val="2"/>
          </rPr>
          <t>Kaikki emolehmäntuotannosta aiheutuneet kustannukset yhteensä €/emolehmä/vuosi</t>
        </r>
      </text>
    </comment>
    <comment ref="N43" authorId="1" shapeId="0" xr:uid="{00000000-0006-0000-0A00-000016000000}">
      <text>
        <r>
          <rPr>
            <sz val="9"/>
            <color indexed="81"/>
            <rFont val="Tahoma"/>
            <family val="2"/>
          </rPr>
          <t>Tässä oletetaan, että muiden tuottojen tuottamiseen on käytetty saman verran kustannuksia, kuin niistä on aiheutunut tuottoja</t>
        </r>
      </text>
    </comment>
    <comment ref="Q43" authorId="1" shapeId="0" xr:uid="{00000000-0006-0000-0A00-000017000000}">
      <text>
        <r>
          <rPr>
            <sz val="9"/>
            <color indexed="81"/>
            <rFont val="Tahoma"/>
            <family val="2"/>
          </rPr>
          <t>Muiden tuottojen tuottamisesta aiheutuvien kustannusten prosenttiosuus 
(= muiden tuottojen osuus tuotoista)</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pmohanvi</author>
    <author>Savonia</author>
  </authors>
  <commentList>
    <comment ref="E4" authorId="0" shapeId="0" xr:uid="{00000000-0006-0000-0B00-000001000000}">
      <text>
        <r>
          <rPr>
            <sz val="8"/>
            <color indexed="81"/>
            <rFont val="Tahoma"/>
            <family val="2"/>
          </rPr>
          <t xml:space="preserve">Lehmän, emolehmän ja siitossonnin eläinmääriksi määritetään niiden lukumäärä tilalla keskimäärin vuodessa. 
Uudistushiehon ja lihanaudan eläinmääriksi määritetaan:
   Uudistushieho: </t>
        </r>
        <r>
          <rPr>
            <b/>
            <sz val="8"/>
            <color indexed="81"/>
            <rFont val="Tahoma"/>
            <family val="2"/>
          </rPr>
          <t>Poikineita hiehoja keskimäärin vuodessa</t>
        </r>
        <r>
          <rPr>
            <sz val="8"/>
            <color indexed="81"/>
            <rFont val="Tahoma"/>
            <family val="2"/>
          </rPr>
          <t xml:space="preserve"> 
      (lehmämäärä x uudistus-%)
   Lihanauta: </t>
        </r>
        <r>
          <rPr>
            <b/>
            <sz val="8"/>
            <color indexed="81"/>
            <rFont val="Tahoma"/>
            <family val="2"/>
          </rPr>
          <t>Teuraaksi myytyjä eläimiä keskimäärin vuodessa</t>
        </r>
        <r>
          <rPr>
            <sz val="8"/>
            <color indexed="81"/>
            <rFont val="Tahoma"/>
            <family val="2"/>
          </rPr>
          <t xml:space="preserve">
      (Laskelmassa ei siis käytetä hiehojen ja lihanautojen lukumäärä tilalla keskimäärin vuodessa)</t>
        </r>
      </text>
    </comment>
    <comment ref="F4" authorId="0" shapeId="0" xr:uid="{00000000-0006-0000-0B00-000002000000}">
      <text>
        <r>
          <rPr>
            <sz val="8"/>
            <color indexed="81"/>
            <rFont val="Tahoma"/>
            <family val="2"/>
          </rPr>
          <t xml:space="preserve">Määritä tuotantoeläinten keskimääräiset </t>
        </r>
        <r>
          <rPr>
            <u/>
            <sz val="8"/>
            <color indexed="81"/>
            <rFont val="Tahoma"/>
            <family val="2"/>
          </rPr>
          <t>vuosituotokset</t>
        </r>
        <r>
          <rPr>
            <sz val="8"/>
            <color indexed="81"/>
            <rFont val="Tahoma"/>
            <family val="2"/>
          </rPr>
          <t xml:space="preserve">:
 Lehmä: Keskituotos eli </t>
        </r>
        <r>
          <rPr>
            <b/>
            <sz val="8"/>
            <color indexed="81"/>
            <rFont val="Tahoma"/>
            <family val="2"/>
          </rPr>
          <t>kg maitoa vuodessa / lehmä</t>
        </r>
        <r>
          <rPr>
            <sz val="8"/>
            <color indexed="81"/>
            <rFont val="Tahoma"/>
            <family val="2"/>
          </rPr>
          <t xml:space="preserve">
 Emolehmä: Tuotettu </t>
        </r>
        <r>
          <rPr>
            <b/>
            <sz val="8"/>
            <color indexed="81"/>
            <rFont val="Tahoma"/>
            <family val="2"/>
          </rPr>
          <t>pihvivasikoita kpl vuodessa / emolehmä</t>
        </r>
        <r>
          <rPr>
            <sz val="8"/>
            <color indexed="81"/>
            <rFont val="Tahoma"/>
            <family val="2"/>
          </rPr>
          <t xml:space="preserve">
     </t>
        </r>
        <r>
          <rPr>
            <b/>
            <sz val="8"/>
            <color indexed="81"/>
            <rFont val="Tahoma"/>
            <family val="2"/>
          </rPr>
          <t xml:space="preserve"> Pihvivasikan tuotanto:</t>
        </r>
        <r>
          <rPr>
            <sz val="8"/>
            <color indexed="81"/>
            <rFont val="Tahoma"/>
            <family val="2"/>
          </rPr>
          <t xml:space="preserve"> Määritä pihvivasikan keskihinta sivulla </t>
        </r>
        <r>
          <rPr>
            <i/>
            <sz val="8"/>
            <color indexed="81"/>
            <rFont val="Tahoma"/>
            <family val="2"/>
          </rPr>
          <t>Emolehmän tuotantokustannus</t>
        </r>
        <r>
          <rPr>
            <sz val="8"/>
            <color indexed="81"/>
            <rFont val="Tahoma"/>
            <family val="2"/>
          </rPr>
          <t xml:space="preserve">
      </t>
        </r>
        <r>
          <rPr>
            <b/>
            <sz val="8"/>
            <color indexed="81"/>
            <rFont val="Tahoma"/>
            <family val="2"/>
          </rPr>
          <t>Yhdistelmätuotanto:</t>
        </r>
        <r>
          <rPr>
            <sz val="8"/>
            <color indexed="81"/>
            <rFont val="Tahoma"/>
            <family val="2"/>
          </rPr>
          <t xml:space="preserve"> Määritä tuotettu (myyty) teuraseläimiä kpl ja keskimääräinen teuraspaino-kg
      rivillä 5-6: Lihasonni ja lihahieho
Määritä kasvatuseläinten tuotokset </t>
        </r>
        <r>
          <rPr>
            <u/>
            <sz val="8"/>
            <color indexed="81"/>
            <rFont val="Tahoma"/>
            <family val="2"/>
          </rPr>
          <t>kasvatusajalle</t>
        </r>
        <r>
          <rPr>
            <sz val="8"/>
            <color indexed="81"/>
            <rFont val="Tahoma"/>
            <family val="2"/>
          </rPr>
          <t xml:space="preserve">:
 Hieho (uudistus): </t>
        </r>
        <r>
          <rPr>
            <b/>
            <sz val="8"/>
            <color indexed="81"/>
            <rFont val="Tahoma"/>
            <family val="2"/>
          </rPr>
          <t>Uudistushiehon tuotos on 1</t>
        </r>
        <r>
          <rPr>
            <sz val="8"/>
            <color indexed="81"/>
            <rFont val="Tahoma"/>
            <family val="2"/>
          </rPr>
          <t xml:space="preserve">, joka tarkoittaa, että hiehon kasvatusaikana on tuotettu yksi poikiva hieho.
      Uudistushiehon hinnan voit tarvittaessa määrittää sivulla </t>
        </r>
        <r>
          <rPr>
            <i/>
            <sz val="8"/>
            <color indexed="81"/>
            <rFont val="Tahoma"/>
            <family val="2"/>
          </rPr>
          <t>Maidon tai Emolehmän tuotantokustannus</t>
        </r>
        <r>
          <rPr>
            <sz val="8"/>
            <color indexed="81"/>
            <rFont val="Tahoma"/>
            <family val="2"/>
          </rPr>
          <t xml:space="preserve">
 Lihanauta: Keskimääräinen teuraspaino eli </t>
        </r>
        <r>
          <rPr>
            <b/>
            <sz val="8"/>
            <color indexed="81"/>
            <rFont val="Tahoma"/>
            <family val="2"/>
          </rPr>
          <t>kg lihaa kasvatusaikana / lihanauta</t>
        </r>
        <r>
          <rPr>
            <sz val="8"/>
            <color indexed="81"/>
            <rFont val="Tahoma"/>
            <family val="2"/>
          </rPr>
          <t xml:space="preserve">
</t>
        </r>
      </text>
    </comment>
    <comment ref="G4" authorId="1" shapeId="0" xr:uid="{00000000-0006-0000-0B00-000003000000}">
      <text>
        <r>
          <rPr>
            <b/>
            <sz val="9"/>
            <color indexed="81"/>
            <rFont val="Tahoma"/>
            <family val="2"/>
          </rPr>
          <t>Muuta tarvittaessa tuotosta</t>
        </r>
        <r>
          <rPr>
            <sz val="9"/>
            <color indexed="81"/>
            <rFont val="Tahoma"/>
            <family val="2"/>
          </rPr>
          <t xml:space="preserve"> siten, että Tuotanto yhteensä vuodessa vastaa käytäntöä.</t>
        </r>
      </text>
    </comment>
    <comment ref="K7" authorId="1" shapeId="0" xr:uid="{00000000-0006-0000-0B00-000004000000}">
      <text>
        <r>
          <rPr>
            <sz val="9"/>
            <color indexed="81"/>
            <rFont val="Tahoma"/>
            <family val="2"/>
          </rPr>
          <t>Esim. eläinten eloonmyynti, €/vuosi</t>
        </r>
      </text>
    </comment>
    <comment ref="M13" authorId="1" shapeId="0" xr:uid="{00000000-0006-0000-0B00-000005000000}">
      <text>
        <r>
          <rPr>
            <b/>
            <sz val="9"/>
            <color indexed="81"/>
            <rFont val="Tahoma"/>
            <family val="2"/>
          </rPr>
          <t>Rehujen hintana käytetään  tuotantokustannusta miinus peltoviljelyn tuet</t>
        </r>
        <r>
          <rPr>
            <sz val="9"/>
            <color indexed="81"/>
            <rFont val="Tahoma"/>
            <family val="2"/>
          </rPr>
          <t xml:space="preserve">
Voit kokeilla laskelmassa tuotantokustannuksen sijaan markkinahintaa ja vertailla muutosta tuotantokustannushintaan.
-&gt; Tallenna testiversio eri nimellä!
Vertailu paljastaa rehuntuotannon kalleuden / edullisuuden.
</t>
        </r>
        <r>
          <rPr>
            <b/>
            <sz val="9"/>
            <color indexed="81"/>
            <rFont val="Tahoma"/>
            <family val="2"/>
          </rPr>
          <t xml:space="preserve">Huom! </t>
        </r>
        <r>
          <rPr>
            <sz val="9"/>
            <color indexed="81"/>
            <rFont val="Tahoma"/>
            <family val="2"/>
          </rPr>
          <t>Luomutuotannossa tai laajaperäisessä viljelyssä tuotantokustannus miinus tuet voi olla miinusmerkkinen eli tukien osuus on suurempi kuin tuotannosta aiheutuu kustannuksia, jolloin kyseinen rehukustannuskin on miinusmerkkinen.</t>
        </r>
      </text>
    </comment>
    <comment ref="I15" authorId="0" shapeId="0" xr:uid="{00000000-0006-0000-0B00-000006000000}">
      <text>
        <r>
          <rPr>
            <sz val="8"/>
            <color indexed="81"/>
            <rFont val="Tahoma"/>
            <family val="2"/>
          </rPr>
          <t>MJ-sato (MJ/ha) kerrottuna viljelyalalla</t>
        </r>
      </text>
    </comment>
    <comment ref="D27" authorId="1" shapeId="0" xr:uid="{00000000-0006-0000-0B00-000007000000}">
      <text>
        <r>
          <rPr>
            <sz val="9"/>
            <color indexed="81"/>
            <rFont val="Tahoma"/>
            <family val="2"/>
          </rPr>
          <t>Tee erittely alla olevaan taulukkoon!</t>
        </r>
      </text>
    </comment>
    <comment ref="Q27" authorId="1" shapeId="0" xr:uid="{00000000-0006-0000-0B00-000008000000}">
      <text>
        <r>
          <rPr>
            <sz val="9"/>
            <color indexed="81"/>
            <rFont val="Tahoma"/>
            <family val="2"/>
          </rPr>
          <t>Välitysvasikan keskimääräinen markkinahinta</t>
        </r>
      </text>
    </comment>
    <comment ref="D28" authorId="1" shapeId="0" xr:uid="{00000000-0006-0000-0B00-000009000000}">
      <text>
        <r>
          <rPr>
            <sz val="9"/>
            <color indexed="81"/>
            <rFont val="Tahoma"/>
            <family val="2"/>
          </rPr>
          <t>Tee erittely alla olevaan taulukkoon!</t>
        </r>
      </text>
    </comment>
    <comment ref="Q28" authorId="1" shapeId="0" xr:uid="{00000000-0006-0000-0B00-00000A000000}">
      <text>
        <r>
          <rPr>
            <sz val="9"/>
            <color indexed="81"/>
            <rFont val="Tahoma"/>
            <family val="2"/>
          </rPr>
          <t>Liikepääomaprosentti on mallilaskelmista (tuottopuntari.fi)
Liikepääomaprosentti kertoo kuinka pitkäksi aikaa pääoma (tuotantopanokset + palkkavaatimus) keskimäärin sitoutuu tuotantoon.
Esim. 50 % tarkoittaa, että pääoma sitoutuu tuotantoon keskimäärin puoleksi vuodeksi.</t>
        </r>
      </text>
    </comment>
    <comment ref="D29" authorId="1" shapeId="0" xr:uid="{00000000-0006-0000-0B00-00000B000000}">
      <text>
        <r>
          <rPr>
            <sz val="9"/>
            <color indexed="81"/>
            <rFont val="Tahoma"/>
            <family val="2"/>
          </rPr>
          <t>Tee erittely alla olevaan taulukkoon!</t>
        </r>
      </text>
    </comment>
    <comment ref="L30" authorId="1" shapeId="0" xr:uid="{00000000-0006-0000-0B00-00000C000000}">
      <text>
        <r>
          <rPr>
            <sz val="9"/>
            <color indexed="81"/>
            <rFont val="Tahoma"/>
            <family val="2"/>
          </rPr>
          <t>Kotieläintuotannon työtunteja keskimäärin / päivä</t>
        </r>
      </text>
    </comment>
    <comment ref="L35" authorId="1" shapeId="0" xr:uid="{818C82A4-949F-41C8-9C09-F07A1CD95B31}">
      <text>
        <r>
          <rPr>
            <sz val="9"/>
            <color indexed="81"/>
            <rFont val="Tahoma"/>
            <family val="2"/>
          </rPr>
          <t xml:space="preserve">Määritä </t>
        </r>
        <r>
          <rPr>
            <b/>
            <sz val="9"/>
            <color indexed="81"/>
            <rFont val="Tahoma"/>
            <family val="2"/>
          </rPr>
          <t>kotieläintuotannon</t>
        </r>
        <r>
          <rPr>
            <sz val="9"/>
            <color indexed="81"/>
            <rFont val="Tahoma"/>
            <family val="2"/>
          </rPr>
          <t xml:space="preserve"> kone- ja rakennuspääoma </t>
        </r>
        <r>
          <rPr>
            <i/>
            <sz val="9"/>
            <color indexed="81"/>
            <rFont val="Tahoma"/>
            <family val="2"/>
          </rPr>
          <t>Lähtötiedot</t>
        </r>
        <r>
          <rPr>
            <sz val="9"/>
            <color indexed="81"/>
            <rFont val="Tahoma"/>
            <family val="2"/>
          </rPr>
          <t xml:space="preserve">-sivulla, jonka perusteella lasketaan kiinteät kustannukset: Poisto, korko ja kunnossapito.
Laskelmassa on oletuksena, että poistojen määrä on sama kuin keskimääräiset kone- ja rakennushankinnat vuodessa. 
Kun koneiden ja rakennusten vuosipoisto on sama kuin keskimääräiset hankinnat vuodessa, niin pääoma pysyy samana! Kehittävällä tilalla käytännössä lisääntyvät kone- ja rakennushankinnat voivat ylittää laskennalliset poistot, mutta tällä laskentatavalla uudet rakennusinvestoinnit näkyvät suoraan kiinteiden kustannusten kasvuna. 
Määritä käyttöaika koneille ja rakennuksille lähtötiedoissa siten, että laskelmassa huomioidaan aikaisemmin tehdyt investoinnit. 
Esim. navetta on rakennettu 20 vuotta sitten ja investointia varten otetusta lainasta on edelleen osa maksamatta: Määritä navetan käyttöajaksi 20 vuotta ja laske rakennusinvestoinnit yhteensä 20 vuodelta mukaan lukien navetta.
Kone- ja rakennuspääoman oletetaan olevan sama kuin käyttöajan kone- ja rakennushankintojen yhteismäärä. 
</t>
        </r>
      </text>
    </comment>
    <comment ref="Q36" authorId="1" shapeId="0" xr:uid="{00000000-0006-0000-0B00-00000E000000}">
      <text>
        <r>
          <rPr>
            <sz val="9"/>
            <color indexed="81"/>
            <rFont val="Tahoma"/>
            <family val="2"/>
          </rPr>
          <t>Koneiden ja laitteiden keskimääräinen kunnossapitoprosentti hankintahinnasta
(vertailulaskelmissa 3%)</t>
        </r>
      </text>
    </comment>
    <comment ref="Q37" authorId="1" shapeId="0" xr:uid="{00000000-0006-0000-0B00-00000F000000}">
      <text>
        <r>
          <rPr>
            <sz val="9"/>
            <color indexed="81"/>
            <rFont val="Tahoma"/>
            <family val="2"/>
          </rPr>
          <t>Rakennusten keskimääräinen kunnossapitoprosentti hankintahinnasta
(vertailulaskelmissa 1%)</t>
        </r>
      </text>
    </comment>
    <comment ref="K38" authorId="1" shapeId="0" xr:uid="{00000000-0006-0000-0B00-000010000000}">
      <text>
        <r>
          <rPr>
            <sz val="9"/>
            <color indexed="81"/>
            <rFont val="Tahoma"/>
            <family val="2"/>
          </rPr>
          <t xml:space="preserve">Kirjanpidosta: Koneiden ja laitteiden sekä rakennusten huolto- ja kunnossapitomenot, €/vuosi
</t>
        </r>
        <r>
          <rPr>
            <b/>
            <sz val="9"/>
            <color indexed="81"/>
            <rFont val="Tahoma"/>
            <family val="2"/>
          </rPr>
          <t>tai</t>
        </r>
        <r>
          <rPr>
            <sz val="9"/>
            <color indexed="81"/>
            <rFont val="Tahoma"/>
            <family val="2"/>
          </rPr>
          <t xml:space="preserve"> 
Arvio: Kone - ja rakennuspääoma kertaa kp-% (Q33)</t>
        </r>
      </text>
    </comment>
    <comment ref="Q38" authorId="1" shapeId="0" xr:uid="{00000000-0006-0000-0B00-000011000000}">
      <text>
        <r>
          <rPr>
            <sz val="9"/>
            <color indexed="81"/>
            <rFont val="Tahoma"/>
            <family val="2"/>
          </rPr>
          <t>Tähän on laskettu arvio koneiden ja laitteiden sekä rakennusten kunnossapitokustannuksista, €/ha
Muuta tarvittaessa kunnossapitoprosentteja (kp-%) edellisissä kohdissa</t>
        </r>
      </text>
    </comment>
    <comment ref="Q39" authorId="1" shapeId="0" xr:uid="{00000000-0006-0000-0B00-000012000000}">
      <text>
        <r>
          <rPr>
            <sz val="9"/>
            <color indexed="81"/>
            <rFont val="Tahoma"/>
            <family val="2"/>
          </rPr>
          <t>Keskimääräinen pääoman korko (vertailulaskelmissa 5
%)</t>
        </r>
      </text>
    </comment>
    <comment ref="K40" authorId="1" shapeId="0" xr:uid="{00000000-0006-0000-0B00-000013000000}">
      <text>
        <r>
          <rPr>
            <sz val="9"/>
            <color indexed="81"/>
            <rFont val="Tahoma"/>
            <family val="2"/>
          </rPr>
          <t>Yleiskustannus on arvioitu:
Liikevaihto (tuotot + tuet) x 6%*
   *muuta prosenttia tarvittaessa kohdassa Q40
Yleiskustannus tarkoittaa kaikkia niitä tuotantoon liittyviä kustannuksia, joita ei ole laskettu edellä muuttuviin, työ tai kiinteisiin kustannuksiin.
Yleiskustannuksia ovat esimerkiksi: Myel ja Mata, sähkö, vesi, jäte, puhelin ym.</t>
        </r>
      </text>
    </comment>
    <comment ref="Q40" authorId="1" shapeId="0" xr:uid="{00000000-0006-0000-0B00-000014000000}">
      <text>
        <r>
          <rPr>
            <sz val="9"/>
            <color indexed="81"/>
            <rFont val="Tahoma"/>
            <family val="2"/>
          </rPr>
          <t xml:space="preserve">Yleiskustannusten osuus on keskimäärin 6% liikevaihdosta (tuotot + tuet) </t>
        </r>
      </text>
    </comment>
    <comment ref="N42" authorId="1" shapeId="0" xr:uid="{00000000-0006-0000-0B00-000015000000}">
      <text>
        <r>
          <rPr>
            <sz val="9"/>
            <color indexed="81"/>
            <rFont val="Tahoma"/>
            <family val="2"/>
          </rPr>
          <t>Kaikki emolehmäntuotannosta aiheutuneet kustannukset yhteensä €/emolehmä/vuosi</t>
        </r>
      </text>
    </comment>
    <comment ref="N43" authorId="1" shapeId="0" xr:uid="{00000000-0006-0000-0B00-000016000000}">
      <text>
        <r>
          <rPr>
            <sz val="9"/>
            <color indexed="81"/>
            <rFont val="Tahoma"/>
            <family val="2"/>
          </rPr>
          <t>Tässä oletetaan, että muiden tuottojen tuottamiseen on käytetty saman verran kustannuksia, kuin niistä on aiheutunut tuottoja</t>
        </r>
      </text>
    </comment>
    <comment ref="Q43" authorId="1" shapeId="0" xr:uid="{00000000-0006-0000-0B00-000017000000}">
      <text>
        <r>
          <rPr>
            <sz val="9"/>
            <color indexed="81"/>
            <rFont val="Tahoma"/>
            <family val="2"/>
          </rPr>
          <t>Muiden tuottojen tuottamisesta aiheutuvien kustannusten prosenttiosuus 
(= muiden tuottojen osuus tuotoista)</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pmohanvi</author>
    <author>Savonia</author>
  </authors>
  <commentList>
    <comment ref="E4" authorId="0" shapeId="0" xr:uid="{00000000-0006-0000-0C00-000001000000}">
      <text>
        <r>
          <rPr>
            <sz val="8"/>
            <color indexed="81"/>
            <rFont val="Tahoma"/>
            <family val="2"/>
          </rPr>
          <t xml:space="preserve">Lehmän, emolehmän ja siitossonnin eläinmääriksi määritetään niiden lukumäärä tilalla keskimäärin vuodessa. 
Uudistushiehon ja lihanaudan eläinmääriksi määritetaan:
   Uudistushieho: </t>
        </r>
        <r>
          <rPr>
            <b/>
            <sz val="8"/>
            <color indexed="81"/>
            <rFont val="Tahoma"/>
            <family val="2"/>
          </rPr>
          <t>Poikineita hiehoja keskimäärin vuodessa</t>
        </r>
        <r>
          <rPr>
            <sz val="8"/>
            <color indexed="81"/>
            <rFont val="Tahoma"/>
            <family val="2"/>
          </rPr>
          <t xml:space="preserve"> 
      (lehmämäärä x uudistus-%)
   Lihanauta: </t>
        </r>
        <r>
          <rPr>
            <b/>
            <sz val="8"/>
            <color indexed="81"/>
            <rFont val="Tahoma"/>
            <family val="2"/>
          </rPr>
          <t>Teuraaksi myytyjä eläimiä keskimäärin vuodessa</t>
        </r>
        <r>
          <rPr>
            <sz val="8"/>
            <color indexed="81"/>
            <rFont val="Tahoma"/>
            <family val="2"/>
          </rPr>
          <t xml:space="preserve">
      (Laskelmassa ei siis käytetä hiehojen ja lihanautojen lukumäärä tilalla keskimäärin vuodessa)</t>
        </r>
      </text>
    </comment>
    <comment ref="F4" authorId="0" shapeId="0" xr:uid="{00000000-0006-0000-0C00-000002000000}">
      <text>
        <r>
          <rPr>
            <sz val="8"/>
            <color indexed="81"/>
            <rFont val="Tahoma"/>
            <family val="2"/>
          </rPr>
          <t xml:space="preserve">Määritä tuotantoeläinten keskimääräiset </t>
        </r>
        <r>
          <rPr>
            <u/>
            <sz val="8"/>
            <color indexed="81"/>
            <rFont val="Tahoma"/>
            <family val="2"/>
          </rPr>
          <t>vuosituotokset</t>
        </r>
        <r>
          <rPr>
            <sz val="8"/>
            <color indexed="81"/>
            <rFont val="Tahoma"/>
            <family val="2"/>
          </rPr>
          <t xml:space="preserve">:
 Lehmä: Keskituotos eli </t>
        </r>
        <r>
          <rPr>
            <b/>
            <sz val="8"/>
            <color indexed="81"/>
            <rFont val="Tahoma"/>
            <family val="2"/>
          </rPr>
          <t>kg maitoa vuodessa / lehmä</t>
        </r>
        <r>
          <rPr>
            <sz val="8"/>
            <color indexed="81"/>
            <rFont val="Tahoma"/>
            <family val="2"/>
          </rPr>
          <t xml:space="preserve">
 Emolehmä: Tuotettu </t>
        </r>
        <r>
          <rPr>
            <b/>
            <sz val="8"/>
            <color indexed="81"/>
            <rFont val="Tahoma"/>
            <family val="2"/>
          </rPr>
          <t>pihvivasikoita kpl vuodessa / emolehmä</t>
        </r>
        <r>
          <rPr>
            <sz val="8"/>
            <color indexed="81"/>
            <rFont val="Tahoma"/>
            <family val="2"/>
          </rPr>
          <t xml:space="preserve">
     </t>
        </r>
        <r>
          <rPr>
            <b/>
            <sz val="8"/>
            <color indexed="81"/>
            <rFont val="Tahoma"/>
            <family val="2"/>
          </rPr>
          <t xml:space="preserve"> Pihvivasikan tuotanto:</t>
        </r>
        <r>
          <rPr>
            <sz val="8"/>
            <color indexed="81"/>
            <rFont val="Tahoma"/>
            <family val="2"/>
          </rPr>
          <t xml:space="preserve"> Määritä pihvivasikan keskihinta sivulla </t>
        </r>
        <r>
          <rPr>
            <i/>
            <sz val="8"/>
            <color indexed="81"/>
            <rFont val="Tahoma"/>
            <family val="2"/>
          </rPr>
          <t>Emolehmän tuotantokustannus</t>
        </r>
        <r>
          <rPr>
            <sz val="8"/>
            <color indexed="81"/>
            <rFont val="Tahoma"/>
            <family val="2"/>
          </rPr>
          <t xml:space="preserve">
      </t>
        </r>
        <r>
          <rPr>
            <b/>
            <sz val="8"/>
            <color indexed="81"/>
            <rFont val="Tahoma"/>
            <family val="2"/>
          </rPr>
          <t>Yhdistelmätuotanto:</t>
        </r>
        <r>
          <rPr>
            <sz val="8"/>
            <color indexed="81"/>
            <rFont val="Tahoma"/>
            <family val="2"/>
          </rPr>
          <t xml:space="preserve"> Määritä tuotettu (myyty) teuraseläimiä kpl ja keskimääräinen teuraspaino-kg
      rivillä 5-6: Lihasonni ja lihahieho
Määritä kasvatuseläinten tuotokset </t>
        </r>
        <r>
          <rPr>
            <u/>
            <sz val="8"/>
            <color indexed="81"/>
            <rFont val="Tahoma"/>
            <family val="2"/>
          </rPr>
          <t>kasvatusajalle</t>
        </r>
        <r>
          <rPr>
            <sz val="8"/>
            <color indexed="81"/>
            <rFont val="Tahoma"/>
            <family val="2"/>
          </rPr>
          <t xml:space="preserve">:
 Hieho (uudistus): </t>
        </r>
        <r>
          <rPr>
            <b/>
            <sz val="8"/>
            <color indexed="81"/>
            <rFont val="Tahoma"/>
            <family val="2"/>
          </rPr>
          <t>Uudistushiehon tuotos on 1</t>
        </r>
        <r>
          <rPr>
            <sz val="8"/>
            <color indexed="81"/>
            <rFont val="Tahoma"/>
            <family val="2"/>
          </rPr>
          <t xml:space="preserve">, joka tarkoittaa, että hiehon kasvatusaikana on tuotettu yksi poikiva hieho.
      Uudistushiehon hinnan voit tarvittaessa määrittää sivulla </t>
        </r>
        <r>
          <rPr>
            <i/>
            <sz val="8"/>
            <color indexed="81"/>
            <rFont val="Tahoma"/>
            <family val="2"/>
          </rPr>
          <t>Maidon tai Emolehmän tuotantokustannus</t>
        </r>
        <r>
          <rPr>
            <sz val="8"/>
            <color indexed="81"/>
            <rFont val="Tahoma"/>
            <family val="2"/>
          </rPr>
          <t xml:space="preserve">
 Lihanauta: Keskimääräinen teuraspaino eli </t>
        </r>
        <r>
          <rPr>
            <b/>
            <sz val="8"/>
            <color indexed="81"/>
            <rFont val="Tahoma"/>
            <family val="2"/>
          </rPr>
          <t>kg lihaa kasvatusaikana / lihanauta</t>
        </r>
        <r>
          <rPr>
            <sz val="8"/>
            <color indexed="81"/>
            <rFont val="Tahoma"/>
            <family val="2"/>
          </rPr>
          <t xml:space="preserve">
</t>
        </r>
      </text>
    </comment>
    <comment ref="G4" authorId="1" shapeId="0" xr:uid="{00000000-0006-0000-0C00-000003000000}">
      <text>
        <r>
          <rPr>
            <b/>
            <sz val="9"/>
            <color indexed="81"/>
            <rFont val="Tahoma"/>
            <family val="2"/>
          </rPr>
          <t>Muuta tarvittaessa tuotosta</t>
        </r>
        <r>
          <rPr>
            <sz val="9"/>
            <color indexed="81"/>
            <rFont val="Tahoma"/>
            <family val="2"/>
          </rPr>
          <t xml:space="preserve"> siten, että Tuotanto yhteensä vuodessa vastaa käytäntöä.</t>
        </r>
      </text>
    </comment>
    <comment ref="K7" authorId="1" shapeId="0" xr:uid="{00000000-0006-0000-0C00-000004000000}">
      <text>
        <r>
          <rPr>
            <sz val="9"/>
            <color indexed="81"/>
            <rFont val="Tahoma"/>
            <family val="2"/>
          </rPr>
          <t>Esim. eläinten eloonmyynti, €/vuosi</t>
        </r>
      </text>
    </comment>
    <comment ref="M13" authorId="1" shapeId="0" xr:uid="{00000000-0006-0000-0C00-000005000000}">
      <text>
        <r>
          <rPr>
            <b/>
            <sz val="9"/>
            <color indexed="81"/>
            <rFont val="Tahoma"/>
            <family val="2"/>
          </rPr>
          <t>Rehujen hintana käytetään  tuotantokustannusta miinus peltoviljelyn tuet</t>
        </r>
        <r>
          <rPr>
            <sz val="9"/>
            <color indexed="81"/>
            <rFont val="Tahoma"/>
            <family val="2"/>
          </rPr>
          <t xml:space="preserve">
Voit kokeilla laskelmassa tuotantokustannuksen sijaan markkinahintaa ja vertailla muutosta tuotantokustannushintaan.
-&gt; Tallenna testiversio eri nimellä!
Vertailu paljastaa rehuntuotannon kalleuden / edullisuuden.
</t>
        </r>
        <r>
          <rPr>
            <b/>
            <sz val="9"/>
            <color indexed="81"/>
            <rFont val="Tahoma"/>
            <family val="2"/>
          </rPr>
          <t xml:space="preserve">Huom! </t>
        </r>
        <r>
          <rPr>
            <sz val="9"/>
            <color indexed="81"/>
            <rFont val="Tahoma"/>
            <family val="2"/>
          </rPr>
          <t>Luomutuotannossa tai laajaperäisessä viljelyssä tuotantokustannus miinus tuet voi olla miinusmerkkinen eli tukien osuus on suurempi kuin tuotannosta aiheutuu kustannuksia, jolloin kyseinen rehukustannuskin on miinusmerkkinen.</t>
        </r>
      </text>
    </comment>
    <comment ref="I15" authorId="0" shapeId="0" xr:uid="{00000000-0006-0000-0C00-000006000000}">
      <text>
        <r>
          <rPr>
            <sz val="8"/>
            <color indexed="81"/>
            <rFont val="Tahoma"/>
            <family val="2"/>
          </rPr>
          <t>MJ-sato (MJ/ha) kerrottuna viljelyalalla</t>
        </r>
      </text>
    </comment>
    <comment ref="D27" authorId="1" shapeId="0" xr:uid="{00000000-0006-0000-0C00-000007000000}">
      <text>
        <r>
          <rPr>
            <sz val="9"/>
            <color indexed="81"/>
            <rFont val="Tahoma"/>
            <family val="2"/>
          </rPr>
          <t>Tee erittely alla olevaan taulukkoon!</t>
        </r>
      </text>
    </comment>
    <comment ref="Q27" authorId="1" shapeId="0" xr:uid="{00000000-0006-0000-0C00-000008000000}">
      <text>
        <r>
          <rPr>
            <sz val="9"/>
            <color indexed="81"/>
            <rFont val="Tahoma"/>
            <family val="2"/>
          </rPr>
          <t>Välitysvasikan keskimääräinen markkinahinta</t>
        </r>
      </text>
    </comment>
    <comment ref="D28" authorId="1" shapeId="0" xr:uid="{00000000-0006-0000-0C00-000009000000}">
      <text>
        <r>
          <rPr>
            <sz val="9"/>
            <color indexed="81"/>
            <rFont val="Tahoma"/>
            <family val="2"/>
          </rPr>
          <t>Tee erittely alla olevaan taulukkoon!</t>
        </r>
      </text>
    </comment>
    <comment ref="Q28" authorId="1" shapeId="0" xr:uid="{00000000-0006-0000-0C00-00000A000000}">
      <text>
        <r>
          <rPr>
            <sz val="9"/>
            <color indexed="81"/>
            <rFont val="Tahoma"/>
            <family val="2"/>
          </rPr>
          <t>Liikepääomaprosentti on mallilaskelmista (tuottopuntari.fi)
Liikepääomaprosentti kertoo kuinka pitkäksi aikaa pääoma (tuotantopanokset + palkkavaatimus) keskimäärin sitoutuu tuotantoon.
Esim. 50 % tarkoittaa, että pääoma sitoutuu tuotantoon keskimäärin puoleksi vuodeksi.</t>
        </r>
      </text>
    </comment>
    <comment ref="D29" authorId="1" shapeId="0" xr:uid="{00000000-0006-0000-0C00-00000B000000}">
      <text>
        <r>
          <rPr>
            <sz val="9"/>
            <color indexed="81"/>
            <rFont val="Tahoma"/>
            <family val="2"/>
          </rPr>
          <t>Tee erittely alla olevaan taulukkoon!</t>
        </r>
      </text>
    </comment>
    <comment ref="L30" authorId="1" shapeId="0" xr:uid="{00000000-0006-0000-0C00-00000C000000}">
      <text>
        <r>
          <rPr>
            <sz val="9"/>
            <color indexed="81"/>
            <rFont val="Tahoma"/>
            <family val="2"/>
          </rPr>
          <t>Kotieläintuotannon työtunteja keskimäärin / päivä</t>
        </r>
      </text>
    </comment>
    <comment ref="L35" authorId="1" shapeId="0" xr:uid="{584C5507-F901-459F-815B-DC230F8F10D4}">
      <text>
        <r>
          <rPr>
            <sz val="9"/>
            <color indexed="81"/>
            <rFont val="Tahoma"/>
            <family val="2"/>
          </rPr>
          <t xml:space="preserve">Määritä </t>
        </r>
        <r>
          <rPr>
            <b/>
            <sz val="9"/>
            <color indexed="81"/>
            <rFont val="Tahoma"/>
            <family val="2"/>
          </rPr>
          <t>kotieläintuotannon</t>
        </r>
        <r>
          <rPr>
            <sz val="9"/>
            <color indexed="81"/>
            <rFont val="Tahoma"/>
            <family val="2"/>
          </rPr>
          <t xml:space="preserve"> kone- ja rakennuspääoma </t>
        </r>
        <r>
          <rPr>
            <i/>
            <sz val="9"/>
            <color indexed="81"/>
            <rFont val="Tahoma"/>
            <family val="2"/>
          </rPr>
          <t>Lähtötiedot</t>
        </r>
        <r>
          <rPr>
            <sz val="9"/>
            <color indexed="81"/>
            <rFont val="Tahoma"/>
            <family val="2"/>
          </rPr>
          <t xml:space="preserve">-sivulla, jonka perusteella lasketaan kiinteät kustannukset: Poisto, korko ja kunnossapito.
Laskelmassa on oletuksena, että poistojen määrä on sama kuin keskimääräiset kone- ja rakennushankinnat vuodessa. 
Kun koneiden ja rakennusten vuosipoisto on sama kuin keskimääräiset hankinnat vuodessa, niin pääoma pysyy samana! Kehittävällä tilalla käytännössä lisääntyvät kone- ja rakennushankinnat voivat ylittää laskennalliset poistot, mutta tällä laskentatavalla uudet rakennusinvestoinnit näkyvät suoraan kiinteiden kustannusten kasvuna. 
Määritä käyttöaika koneille ja rakennuksille lähtötiedoissa siten, että laskelmassa huomioidaan aikaisemmin tehdyt investoinnit. 
Esim. navetta on rakennettu 20 vuotta sitten ja investointia varten otetusta lainasta on edelleen osa maksamatta: Määritä navetan käyttöajaksi 20 vuotta ja laske rakennusinvestoinnit yhteensä 20 vuodelta mukaan lukien navetta.
Kone- ja rakennuspääoman oletetaan olevan sama kuin käyttöajan kone- ja rakennushankintojen yhteismäärä. 
</t>
        </r>
      </text>
    </comment>
    <comment ref="Q36" authorId="1" shapeId="0" xr:uid="{00000000-0006-0000-0C00-00000E000000}">
      <text>
        <r>
          <rPr>
            <sz val="9"/>
            <color indexed="81"/>
            <rFont val="Tahoma"/>
            <family val="2"/>
          </rPr>
          <t>Koneiden ja laitteiden keskimääräinen kunnossapitoprosentti hankintahinnasta
(vertailulaskelmissa 3%)</t>
        </r>
      </text>
    </comment>
    <comment ref="Q37" authorId="1" shapeId="0" xr:uid="{00000000-0006-0000-0C00-00000F000000}">
      <text>
        <r>
          <rPr>
            <sz val="9"/>
            <color indexed="81"/>
            <rFont val="Tahoma"/>
            <family val="2"/>
          </rPr>
          <t>Rakennusten keskimääräinen kunnossapitoprosentti hankintahinnasta
(vertailulaskelmissa 1%)</t>
        </r>
      </text>
    </comment>
    <comment ref="K38" authorId="1" shapeId="0" xr:uid="{00000000-0006-0000-0C00-000010000000}">
      <text>
        <r>
          <rPr>
            <sz val="9"/>
            <color indexed="81"/>
            <rFont val="Tahoma"/>
            <family val="2"/>
          </rPr>
          <t xml:space="preserve">Kirjanpidosta: Koneiden ja laitteiden sekä rakennusten huolto- ja kunnossapitomenot, €/vuosi
</t>
        </r>
        <r>
          <rPr>
            <b/>
            <sz val="9"/>
            <color indexed="81"/>
            <rFont val="Tahoma"/>
            <family val="2"/>
          </rPr>
          <t>tai</t>
        </r>
        <r>
          <rPr>
            <sz val="9"/>
            <color indexed="81"/>
            <rFont val="Tahoma"/>
            <family val="2"/>
          </rPr>
          <t xml:space="preserve"> 
Arvio: Kone - ja rakennuspääoma kertaa kp-% (Q33)</t>
        </r>
      </text>
    </comment>
    <comment ref="Q38" authorId="1" shapeId="0" xr:uid="{00000000-0006-0000-0C00-000011000000}">
      <text>
        <r>
          <rPr>
            <sz val="9"/>
            <color indexed="81"/>
            <rFont val="Tahoma"/>
            <family val="2"/>
          </rPr>
          <t>Tähän on laskettu arvio koneiden ja laitteiden sekä rakennusten kunnossapitokustannuksista, €/ha
Muuta tarvittaessa kunnossapitoprosentteja (kp-%) edellisissä kohdissa</t>
        </r>
      </text>
    </comment>
    <comment ref="Q39" authorId="1" shapeId="0" xr:uid="{00000000-0006-0000-0C00-000012000000}">
      <text>
        <r>
          <rPr>
            <sz val="9"/>
            <color indexed="81"/>
            <rFont val="Tahoma"/>
            <family val="2"/>
          </rPr>
          <t>Keskimääräinen pääoman korko (vertailulaskelmissa 5
%)</t>
        </r>
      </text>
    </comment>
    <comment ref="K40" authorId="1" shapeId="0" xr:uid="{00000000-0006-0000-0C00-000013000000}">
      <text>
        <r>
          <rPr>
            <sz val="9"/>
            <color indexed="81"/>
            <rFont val="Tahoma"/>
            <family val="2"/>
          </rPr>
          <t>Yleiskustannus on arvioitu:
Liikevaihto (tuotot + tuet) x 6%*
   *muuta prosenttia tarvittaessa kohdassa Q40
Yleiskustannus tarkoittaa kaikkia niitä tuotantoon liittyviä kustannuksia, joita ei ole laskettu edellä muuttuviin, työ tai kiinteisiin kustannuksiin.
Yleiskustannuksia ovat esimerkiksi: Myel ja Mata, sähkö, vesi, jäte, puhelin ym.</t>
        </r>
      </text>
    </comment>
    <comment ref="Q40" authorId="1" shapeId="0" xr:uid="{00000000-0006-0000-0C00-000014000000}">
      <text>
        <r>
          <rPr>
            <sz val="9"/>
            <color indexed="81"/>
            <rFont val="Tahoma"/>
            <family val="2"/>
          </rPr>
          <t xml:space="preserve">Yleiskustannusten osuus on keskimäärin 6% liikevaihdosta (tuotot + tuet) </t>
        </r>
      </text>
    </comment>
    <comment ref="N42" authorId="1" shapeId="0" xr:uid="{00000000-0006-0000-0C00-000015000000}">
      <text>
        <r>
          <rPr>
            <sz val="9"/>
            <color indexed="81"/>
            <rFont val="Tahoma"/>
            <family val="2"/>
          </rPr>
          <t>Kaikki emolehmäntuotannosta aiheutuneet kustannukset yhteensä €/emolehmä/vuosi</t>
        </r>
      </text>
    </comment>
    <comment ref="N43" authorId="1" shapeId="0" xr:uid="{00000000-0006-0000-0C00-000016000000}">
      <text>
        <r>
          <rPr>
            <sz val="9"/>
            <color indexed="81"/>
            <rFont val="Tahoma"/>
            <family val="2"/>
          </rPr>
          <t>Tässä oletetaan, että muiden tuottojen tuottamiseen on käytetty saman verran kustannuksia, kuin niistä on aiheutunut tuottoja</t>
        </r>
      </text>
    </comment>
    <comment ref="Q43" authorId="1" shapeId="0" xr:uid="{00000000-0006-0000-0C00-000017000000}">
      <text>
        <r>
          <rPr>
            <sz val="9"/>
            <color indexed="81"/>
            <rFont val="Tahoma"/>
            <family val="2"/>
          </rPr>
          <t>Muiden tuottojen tuottamisesta aiheutuvien kustannusten prosenttiosuus 
(= muiden tuottojen osuus tuotoista)</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Savonia</author>
  </authors>
  <commentList>
    <comment ref="G3" authorId="0" shapeId="0" xr:uid="{00000000-0006-0000-0F00-000001000000}">
      <text>
        <r>
          <rPr>
            <sz val="9"/>
            <color indexed="81"/>
            <rFont val="Tahoma"/>
            <family val="2"/>
          </rPr>
          <t>Peltoala yhteensä, ha</t>
        </r>
      </text>
    </comment>
    <comment ref="H3" authorId="0" shapeId="0" xr:uid="{00000000-0006-0000-0F00-000002000000}">
      <text>
        <r>
          <rPr>
            <sz val="9"/>
            <color indexed="81"/>
            <rFont val="Tahoma"/>
            <family val="2"/>
          </rPr>
          <t>Säilörehun viljelyala, ha</t>
        </r>
      </text>
    </comment>
    <comment ref="V3" authorId="0" shapeId="0" xr:uid="{00000000-0006-0000-0F00-000003000000}">
      <text>
        <r>
          <rPr>
            <sz val="9"/>
            <color indexed="81"/>
            <rFont val="Tahoma"/>
            <family val="2"/>
          </rPr>
          <t>Peltoala yhteensä, ha</t>
        </r>
      </text>
    </comment>
    <comment ref="W3" authorId="0" shapeId="0" xr:uid="{00000000-0006-0000-0F00-000004000000}">
      <text>
        <r>
          <rPr>
            <sz val="9"/>
            <color indexed="81"/>
            <rFont val="Tahoma"/>
            <family val="2"/>
          </rPr>
          <t>Säilörehun viljelyala, ha</t>
        </r>
      </text>
    </comment>
    <comment ref="D30" authorId="0" shapeId="0" xr:uid="{00000000-0006-0000-0F00-000005000000}">
      <text>
        <r>
          <rPr>
            <sz val="9"/>
            <color indexed="81"/>
            <rFont val="Tahoma"/>
            <family val="2"/>
          </rPr>
          <t xml:space="preserve">Määritä </t>
        </r>
        <r>
          <rPr>
            <b/>
            <sz val="9"/>
            <color indexed="81"/>
            <rFont val="Tahoma"/>
            <family val="2"/>
          </rPr>
          <t>säilörehuntuotannon</t>
        </r>
        <r>
          <rPr>
            <sz val="9"/>
            <color indexed="81"/>
            <rFont val="Tahoma"/>
            <family val="2"/>
          </rPr>
          <t xml:space="preserve"> kone- ja rakennuspääoma, jonka perusteella lasketaan kiinteät kustannukset: poisto, korko ja kunnossapito:
Laskelmassa on oletuksena, että poistojen määrä on sama kuin keskimääräiset kone- ja rakennushankinnat vuodessa. 
Kun koneiden ja rakennusten vuosipoisto on sama kuin keskimääräiset hankinnat vuodessa, niin pääoma pysyy samana! Kehittävälllä tilalla käytännössä lisääntyvät kone- ja rakennushankinnat voivat ylittää laskennalliset poistot, mutta tällä laskentatavalla uudet rakennusinvestoinnit näkyvät suoraan kiinteiden kustannusten kasvuna. 
Viisitoistavuotta vanhempia koneita ja rakennuksia ei tässä huomioida.
Kone- ja rakennuspääoman oletetaan olevan sama kuin viidentoista vuoden rakennushankintojen yhteismäärä. 
</t>
        </r>
      </text>
    </comment>
    <comment ref="S30" authorId="0" shapeId="0" xr:uid="{00000000-0006-0000-0F00-000006000000}">
      <text>
        <r>
          <rPr>
            <sz val="9"/>
            <color indexed="81"/>
            <rFont val="Tahoma"/>
            <family val="2"/>
          </rPr>
          <t xml:space="preserve">Määritä </t>
        </r>
        <r>
          <rPr>
            <b/>
            <sz val="9"/>
            <color indexed="81"/>
            <rFont val="Tahoma"/>
            <family val="2"/>
          </rPr>
          <t>säilörehuntuotannon</t>
        </r>
        <r>
          <rPr>
            <sz val="9"/>
            <color indexed="81"/>
            <rFont val="Tahoma"/>
            <family val="2"/>
          </rPr>
          <t xml:space="preserve"> kone- ja rakennuspääoma, jonka perusteella lasketaan kiinteät kustannukset: poisto, korko ja kunnossapito:
Laskelmassa on oletuksena, että poistojen määrä on sama kuin keskimääräiset kone- ja rakennushankinnat vuodessa. 
Kun koneiden ja rakennusten vuosipoisto on sama kuin keskimääräiset hankinnat vuodessa, niin pääoma pysyy samana! Kehittävälllä tilalla käytännössä lisääntyvät kone- ja rakennushankinnat voivat ylittää laskennalliset poistot, mutta tällä laskentatavalla uudet rakennusinvestoinnit näkyvät suoraan kiinteiden kustannusten kasvuna. 
Viisitoistavuotta vanhempia koneita ja rakennuksia ei tässä huomioida.
Kone- ja rakennuspääoman oletetaan olevan sama kuin viidentoista vuoden rakennushankintojen yhteismäärä. 
</t>
        </r>
      </text>
    </comment>
    <comment ref="I31" authorId="0" shapeId="0" xr:uid="{00000000-0006-0000-0F00-000007000000}">
      <text>
        <r>
          <rPr>
            <sz val="9"/>
            <color indexed="81"/>
            <rFont val="Tahoma"/>
            <family val="2"/>
          </rPr>
          <t>Koneiden ja laitteiden keskimääräinen kunnossapitoprosentti hankintahinnasta
(vertailulaskelmissa 3%)</t>
        </r>
      </text>
    </comment>
    <comment ref="X31" authorId="0" shapeId="0" xr:uid="{00000000-0006-0000-0F00-000008000000}">
      <text>
        <r>
          <rPr>
            <sz val="9"/>
            <color indexed="81"/>
            <rFont val="Tahoma"/>
            <family val="2"/>
          </rPr>
          <t>Koneiden ja laitteiden keskimääräinen kunnossapitoprosentti hankintahinnasta
(vertailulaskelmissa 3%)</t>
        </r>
      </text>
    </comment>
    <comment ref="I32" authorId="0" shapeId="0" xr:uid="{00000000-0006-0000-0F00-000009000000}">
      <text>
        <r>
          <rPr>
            <sz val="9"/>
            <color indexed="81"/>
            <rFont val="Tahoma"/>
            <family val="2"/>
          </rPr>
          <t>Rakennusten keskimääräinen kunnossapitoprosentti hankintahinnasta
(vertailulaskelmissa 1%)</t>
        </r>
      </text>
    </comment>
    <comment ref="X32" authorId="0" shapeId="0" xr:uid="{00000000-0006-0000-0F00-00000A000000}">
      <text>
        <r>
          <rPr>
            <sz val="9"/>
            <color indexed="81"/>
            <rFont val="Tahoma"/>
            <family val="2"/>
          </rPr>
          <t>Rakennusten keskimääräinen kunnossapitoprosentti hankintahinnasta
(vertailulaskelmissa 1%)</t>
        </r>
      </text>
    </comment>
    <comment ref="C33" authorId="0" shapeId="0" xr:uid="{00000000-0006-0000-0F00-00000B000000}">
      <text>
        <r>
          <rPr>
            <sz val="9"/>
            <color indexed="81"/>
            <rFont val="Tahoma"/>
            <family val="2"/>
          </rPr>
          <t xml:space="preserve">Kirjanpidosta: Koneiden ja laitteiden sekä rakennusten huolto- ja kunnossapitomenot, €/vuosi
</t>
        </r>
        <r>
          <rPr>
            <b/>
            <sz val="9"/>
            <color indexed="81"/>
            <rFont val="Tahoma"/>
            <family val="2"/>
          </rPr>
          <t>tai</t>
        </r>
        <r>
          <rPr>
            <sz val="9"/>
            <color indexed="81"/>
            <rFont val="Tahoma"/>
            <family val="2"/>
          </rPr>
          <t xml:space="preserve"> 
Arvio: Kone - ja rakennuspääoma kertaa kp-% (Q33)</t>
        </r>
      </text>
    </comment>
    <comment ref="I33" authorId="0" shapeId="0" xr:uid="{00000000-0006-0000-0F00-00000C000000}">
      <text>
        <r>
          <rPr>
            <sz val="9"/>
            <color indexed="81"/>
            <rFont val="Tahoma"/>
            <family val="2"/>
          </rPr>
          <t>Tähän on laskettu arvio koneiden ja laitteiden sekä rakennusten kunnossapitokustannuksista, €/ha
Muuta tarvittaessa kunnossapitoprosentteja (kp-%) edellisissä kohdissa</t>
        </r>
      </text>
    </comment>
    <comment ref="R33" authorId="0" shapeId="0" xr:uid="{00000000-0006-0000-0F00-00000D000000}">
      <text>
        <r>
          <rPr>
            <sz val="9"/>
            <color indexed="81"/>
            <rFont val="Tahoma"/>
            <family val="2"/>
          </rPr>
          <t xml:space="preserve">Kirjanpidosta: Koneiden ja laitteiden sekä rakennusten huolto- ja kunnossapitomenot, €/vuosi
</t>
        </r>
        <r>
          <rPr>
            <b/>
            <sz val="9"/>
            <color indexed="81"/>
            <rFont val="Tahoma"/>
            <family val="2"/>
          </rPr>
          <t>tai</t>
        </r>
        <r>
          <rPr>
            <sz val="9"/>
            <color indexed="81"/>
            <rFont val="Tahoma"/>
            <family val="2"/>
          </rPr>
          <t xml:space="preserve"> 
Arvio: Kone - ja rakennuspääoma kertaa kp-% (Q33)</t>
        </r>
      </text>
    </comment>
    <comment ref="X33" authorId="0" shapeId="0" xr:uid="{00000000-0006-0000-0F00-00000E000000}">
      <text>
        <r>
          <rPr>
            <sz val="9"/>
            <color indexed="81"/>
            <rFont val="Tahoma"/>
            <family val="2"/>
          </rPr>
          <t>Tähän on laskettu arvio koneiden ja laitteiden sekä rakennusten kunnossapitokustannuksista, €/ha
Muuta tarvittaessa kunnossapitoprosentteja (kp-%) edellisissä kohdissa</t>
        </r>
      </text>
    </comment>
    <comment ref="I34" authorId="0" shapeId="0" xr:uid="{00000000-0006-0000-0F00-00000F000000}">
      <text>
        <r>
          <rPr>
            <sz val="9"/>
            <color indexed="81"/>
            <rFont val="Tahoma"/>
            <family val="2"/>
          </rPr>
          <t>Keskimääräinen pääoman korko (vertailulaskelmissa 5
%)</t>
        </r>
      </text>
    </comment>
    <comment ref="X34" authorId="0" shapeId="0" xr:uid="{00000000-0006-0000-0F00-000010000000}">
      <text>
        <r>
          <rPr>
            <sz val="9"/>
            <color indexed="81"/>
            <rFont val="Tahoma"/>
            <family val="2"/>
          </rPr>
          <t>Keskimääräinen pääoman korko (vertailulaskelmissa 5
%)</t>
        </r>
      </text>
    </comment>
    <comment ref="I35" authorId="0" shapeId="0" xr:uid="{00000000-0006-0000-0F00-000011000000}">
      <text>
        <r>
          <rPr>
            <sz val="9"/>
            <color indexed="81"/>
            <rFont val="Tahoma"/>
            <family val="2"/>
          </rPr>
          <t xml:space="preserve">Yleiskustannusten osuus on keskimäärin 10% liikevaihdosta (tuotot + tuet) </t>
        </r>
      </text>
    </comment>
    <comment ref="X35" authorId="0" shapeId="0" xr:uid="{00000000-0006-0000-0F00-000012000000}">
      <text>
        <r>
          <rPr>
            <sz val="9"/>
            <color indexed="81"/>
            <rFont val="Tahoma"/>
            <family val="2"/>
          </rPr>
          <t xml:space="preserve">Yleiskustannusten osuus on keskimäärin 10% liikevaihdosta (tuotot + tuet) </t>
        </r>
      </text>
    </comment>
    <comment ref="C46" authorId="0" shapeId="0" xr:uid="{00000000-0006-0000-0F00-000013000000}">
      <text>
        <r>
          <rPr>
            <sz val="9"/>
            <color indexed="81"/>
            <rFont val="Tahoma"/>
            <family val="2"/>
          </rPr>
          <t>Esim. poistolehmän ja siitossonnin myynti, €/vuosi</t>
        </r>
      </text>
    </comment>
    <comment ref="R46" authorId="0" shapeId="0" xr:uid="{00000000-0006-0000-0F00-000014000000}">
      <text>
        <r>
          <rPr>
            <sz val="9"/>
            <color indexed="81"/>
            <rFont val="Tahoma"/>
            <family val="2"/>
          </rPr>
          <t>Esim. poistolehmän ja siitossonnin myynti, €/vuosi</t>
        </r>
      </text>
    </comment>
    <comment ref="C47" authorId="0" shapeId="0" xr:uid="{00000000-0006-0000-0F00-000015000000}">
      <text>
        <r>
          <rPr>
            <sz val="9"/>
            <color indexed="81"/>
            <rFont val="Tahoma"/>
            <family val="2"/>
          </rPr>
          <t>Maidon tuotantotuki ja hyvinvointikorvaus</t>
        </r>
      </text>
    </comment>
    <comment ref="R47" authorId="0" shapeId="0" xr:uid="{00000000-0006-0000-0F00-000016000000}">
      <text>
        <r>
          <rPr>
            <sz val="9"/>
            <color indexed="81"/>
            <rFont val="Tahoma"/>
            <family val="2"/>
          </rPr>
          <t>Maidon tuotantotuki ja hyvinvointikorvaus</t>
        </r>
      </text>
    </comment>
    <comment ref="E52" authorId="0" shapeId="0" xr:uid="{00000000-0006-0000-0F00-000017000000}">
      <text>
        <r>
          <rPr>
            <sz val="9"/>
            <color indexed="81"/>
            <rFont val="Tahoma"/>
            <family val="2"/>
          </rPr>
          <t xml:space="preserve">Käytä rehujen hintoina </t>
        </r>
        <r>
          <rPr>
            <b/>
            <sz val="9"/>
            <color indexed="81"/>
            <rFont val="Tahoma"/>
            <family val="2"/>
          </rPr>
          <t>oletettuja markkinahintoja</t>
        </r>
        <r>
          <rPr>
            <sz val="9"/>
            <color indexed="81"/>
            <rFont val="Tahoma"/>
            <family val="2"/>
          </rPr>
          <t xml:space="preserve">
paitsi </t>
        </r>
        <r>
          <rPr>
            <b/>
            <sz val="9"/>
            <color indexed="81"/>
            <rFont val="Tahoma"/>
            <family val="2"/>
          </rPr>
          <t>säilörehun hintana käytetään säilörehun tuotantokustannusta</t>
        </r>
        <r>
          <rPr>
            <sz val="9"/>
            <color indexed="81"/>
            <rFont val="Tahoma"/>
            <family val="2"/>
          </rPr>
          <t xml:space="preserve"> miinus peltoviljelyn (säilörehuntuotannon) tuet
Voit kokeilla laskelmassa säilörehun tuotantokustannuksen sijaan markkinahintaa ja vertailla muutosta tuotantokustannushintaan.
Vertailu paljastaa rehuntuotannon kalleuden / edullisuuden.
</t>
        </r>
      </text>
    </comment>
    <comment ref="T52" authorId="0" shapeId="0" xr:uid="{00000000-0006-0000-0F00-000018000000}">
      <text>
        <r>
          <rPr>
            <sz val="9"/>
            <color indexed="81"/>
            <rFont val="Tahoma"/>
            <family val="2"/>
          </rPr>
          <t xml:space="preserve">Käytä rehujen hintoina </t>
        </r>
        <r>
          <rPr>
            <b/>
            <sz val="9"/>
            <color indexed="81"/>
            <rFont val="Tahoma"/>
            <family val="2"/>
          </rPr>
          <t>oletettuja markkinahintoja</t>
        </r>
        <r>
          <rPr>
            <sz val="9"/>
            <color indexed="81"/>
            <rFont val="Tahoma"/>
            <family val="2"/>
          </rPr>
          <t xml:space="preserve">
paitsi </t>
        </r>
        <r>
          <rPr>
            <b/>
            <sz val="9"/>
            <color indexed="81"/>
            <rFont val="Tahoma"/>
            <family val="2"/>
          </rPr>
          <t>säilörehun hintana käytetään säilörehun tuotantokustannusta</t>
        </r>
        <r>
          <rPr>
            <sz val="9"/>
            <color indexed="81"/>
            <rFont val="Tahoma"/>
            <family val="2"/>
          </rPr>
          <t xml:space="preserve"> miinus peltoviljelyn (säilörehuntuotannon) tuet
Voit kokeilla laskelmassa säilörehun tuotantokustannuksen sijaan markkinahintaa ja vertailla muutosta tuotantokustannushintaan.
Vertailu paljastaa rehuntuotannon kalleuden / edullisuuden.
</t>
        </r>
      </text>
    </comment>
    <comment ref="E53" authorId="0" shapeId="0" xr:uid="{00000000-0006-0000-0F00-000019000000}">
      <text>
        <r>
          <rPr>
            <sz val="9"/>
            <color indexed="81"/>
            <rFont val="Tahoma"/>
            <family val="2"/>
          </rPr>
          <t>Säilörehun tuotantokustannus miinus peltoviljelyn (säilörehuntuotannon) tuet</t>
        </r>
      </text>
    </comment>
    <comment ref="T53" authorId="0" shapeId="0" xr:uid="{00000000-0006-0000-0F00-00001A000000}">
      <text>
        <r>
          <rPr>
            <sz val="9"/>
            <color indexed="81"/>
            <rFont val="Tahoma"/>
            <family val="2"/>
          </rPr>
          <t>Säilörehun tuotantokustannus miinus peltoviljelyn (säilörehuntuotannon) tuet</t>
        </r>
      </text>
    </comment>
    <comment ref="I67" authorId="0" shapeId="0" xr:uid="{00000000-0006-0000-0F00-00001B000000}">
      <text>
        <r>
          <rPr>
            <sz val="9"/>
            <color indexed="81"/>
            <rFont val="Tahoma"/>
            <family val="2"/>
          </rPr>
          <t>Liikepääomaprosentti on mallilaskelmista (tuottopuntari.fi)
Liikepääomaprosentti kertoo kuinka pitkäksi aikaa pääoma (tuotantopanokset + palkkavaatimus) keskimäärin sitoutuu tuotantoon.
Esim. 50 % tarkoittaa, että pääoma sitoutuu tuotantoon keskimäärin puoleksi vuodeksi.</t>
        </r>
      </text>
    </comment>
    <comment ref="X67" authorId="0" shapeId="0" xr:uid="{00000000-0006-0000-0F00-00001C000000}">
      <text>
        <r>
          <rPr>
            <sz val="9"/>
            <color indexed="81"/>
            <rFont val="Tahoma"/>
            <family val="2"/>
          </rPr>
          <t>Liikepääomaprosentti on mallilaskelmista (tuottopuntari.fi)
Liikepääomaprosentti kertoo kuinka pitkäksi aikaa pääoma (tuotantopanokset + palkkavaatimus) keskimäärin sitoutuu tuotantoon.
Esim. 50 % tarkoittaa, että pääoma sitoutuu tuotantoon keskimäärin puoleksi vuodeksi.</t>
        </r>
      </text>
    </comment>
    <comment ref="D69" authorId="0" shapeId="0" xr:uid="{00000000-0006-0000-0F00-00001D000000}">
      <text>
        <r>
          <rPr>
            <sz val="9"/>
            <color indexed="81"/>
            <rFont val="Tahoma"/>
            <family val="2"/>
          </rPr>
          <t>Kotieläintuotannon työtunteja keskimäärin / päivä</t>
        </r>
      </text>
    </comment>
    <comment ref="S69" authorId="0" shapeId="0" xr:uid="{00000000-0006-0000-0F00-00001E000000}">
      <text>
        <r>
          <rPr>
            <sz val="9"/>
            <color indexed="81"/>
            <rFont val="Tahoma"/>
            <family val="2"/>
          </rPr>
          <t>Kotieläintuotannon työtunteja keskimäärin / päivä</t>
        </r>
      </text>
    </comment>
    <comment ref="D74" authorId="0" shapeId="0" xr:uid="{00000000-0006-0000-0F00-00001F000000}">
      <text>
        <r>
          <rPr>
            <sz val="9"/>
            <color indexed="81"/>
            <rFont val="Tahoma"/>
            <family val="2"/>
          </rPr>
          <t xml:space="preserve">Määritä </t>
        </r>
        <r>
          <rPr>
            <b/>
            <sz val="9"/>
            <color indexed="81"/>
            <rFont val="Tahoma"/>
            <family val="2"/>
          </rPr>
          <t>kotieläintuotannon</t>
        </r>
        <r>
          <rPr>
            <sz val="9"/>
            <color indexed="81"/>
            <rFont val="Tahoma"/>
            <family val="2"/>
          </rPr>
          <t xml:space="preserve"> kone- ja rakennuspääoma, jonka perusteella lasketaan kiinteät kustannukset: poisto, korko ja kunnossapito:
Laskelmassa on oletuksena, että poistojen määrä on sama kuin keskimääräiset kone- ja rakennushankinnat vuodessa. 
Kun koneiden ja rakennusten vuosipoisto on sama kuin keskimääräiset hankinnat vuodessa, niin pääoma pysyy samana! Kehittävälllä tilalla käytännössä lisääntyvät kone- ja rakennushankinnat voivat ylittää laskennalliset poistot, mutta tällä laskentatavalla uudet rakennusinvestoinnit näkyvät suoraan kiinteiden kustannusten kasvuna. 
Viisitoistavuotta vanhempia koneita ja rakennuksia ei tässä huomioida.
Kone- ja rakennuspääoman oletetaan olevan sama kuin viidentoista vuoden rakennushankintojen yhteismäärä. 
</t>
        </r>
      </text>
    </comment>
    <comment ref="S74" authorId="0" shapeId="0" xr:uid="{00000000-0006-0000-0F00-000020000000}">
      <text>
        <r>
          <rPr>
            <sz val="9"/>
            <color indexed="81"/>
            <rFont val="Tahoma"/>
            <family val="2"/>
          </rPr>
          <t xml:space="preserve">Määritä </t>
        </r>
        <r>
          <rPr>
            <b/>
            <sz val="9"/>
            <color indexed="81"/>
            <rFont val="Tahoma"/>
            <family val="2"/>
          </rPr>
          <t>kotieläintuotannon</t>
        </r>
        <r>
          <rPr>
            <sz val="9"/>
            <color indexed="81"/>
            <rFont val="Tahoma"/>
            <family val="2"/>
          </rPr>
          <t xml:space="preserve"> kone- ja rakennuspääoma, jonka perusteella lasketaan kiinteät kustannukset: poisto, korko ja kunnossapito:
Laskelmassa on oletuksena, että poistojen määrä on sama kuin keskimääräiset kone- ja rakennushankinnat vuodessa. 
Kun koneiden ja rakennusten vuosipoisto on sama kuin keskimääräiset hankinnat vuodessa, niin pääoma pysyy samana! Kehittävälllä tilalla käytännössä lisääntyvät kone- ja rakennushankinnat voivat ylittää laskennalliset poistot, mutta tällä laskentatavalla uudet rakennusinvestoinnit näkyvät suoraan kiinteiden kustannusten kasvuna. 
Viisitoistavuotta vanhempia koneita ja rakennuksia ei tässä huomioida.
Kone- ja rakennuspääoman oletetaan olevan sama kuin viidentoista vuoden rakennushankintojen yhteismäärä. 
</t>
        </r>
      </text>
    </comment>
    <comment ref="I75" authorId="0" shapeId="0" xr:uid="{00000000-0006-0000-0F00-000021000000}">
      <text>
        <r>
          <rPr>
            <sz val="9"/>
            <color indexed="81"/>
            <rFont val="Tahoma"/>
            <family val="2"/>
          </rPr>
          <t>Koneiden ja laitteiden keskimääräinen kunnossapitoprosentti hankintahinnasta
(vertailulaskelmissa 3%)</t>
        </r>
      </text>
    </comment>
    <comment ref="X75" authorId="0" shapeId="0" xr:uid="{00000000-0006-0000-0F00-000022000000}">
      <text>
        <r>
          <rPr>
            <sz val="9"/>
            <color indexed="81"/>
            <rFont val="Tahoma"/>
            <family val="2"/>
          </rPr>
          <t>Koneiden ja laitteiden keskimääräinen kunnossapitoprosentti hankintahinnasta
(vertailulaskelmissa 3%)</t>
        </r>
      </text>
    </comment>
    <comment ref="I76" authorId="0" shapeId="0" xr:uid="{00000000-0006-0000-0F00-000023000000}">
      <text>
        <r>
          <rPr>
            <sz val="9"/>
            <color indexed="81"/>
            <rFont val="Tahoma"/>
            <family val="2"/>
          </rPr>
          <t>Rakennusten keskimääräinen kunnossapitoprosentti hankintahinnasta
(vertailulaskelmissa 1%)</t>
        </r>
      </text>
    </comment>
    <comment ref="X76" authorId="0" shapeId="0" xr:uid="{00000000-0006-0000-0F00-000024000000}">
      <text>
        <r>
          <rPr>
            <sz val="9"/>
            <color indexed="81"/>
            <rFont val="Tahoma"/>
            <family val="2"/>
          </rPr>
          <t>Rakennusten keskimääräinen kunnossapitoprosentti hankintahinnasta
(vertailulaskelmissa 1%)</t>
        </r>
      </text>
    </comment>
    <comment ref="C77" authorId="0" shapeId="0" xr:uid="{00000000-0006-0000-0F00-000025000000}">
      <text>
        <r>
          <rPr>
            <sz val="9"/>
            <color indexed="81"/>
            <rFont val="Tahoma"/>
            <family val="2"/>
          </rPr>
          <t xml:space="preserve">Kirjanpidosta: Koneiden ja laitteiden sekä rakennusten huolto- ja kunnossapitomenot, €/vuosi
</t>
        </r>
        <r>
          <rPr>
            <b/>
            <sz val="9"/>
            <color indexed="81"/>
            <rFont val="Tahoma"/>
            <family val="2"/>
          </rPr>
          <t>tai</t>
        </r>
        <r>
          <rPr>
            <sz val="9"/>
            <color indexed="81"/>
            <rFont val="Tahoma"/>
            <family val="2"/>
          </rPr>
          <t xml:space="preserve"> 
Arvio: Kone - ja rakennuspääoma kertaa kp-% (Q33)</t>
        </r>
      </text>
    </comment>
    <comment ref="I77" authorId="0" shapeId="0" xr:uid="{00000000-0006-0000-0F00-000026000000}">
      <text>
        <r>
          <rPr>
            <sz val="9"/>
            <color indexed="81"/>
            <rFont val="Tahoma"/>
            <family val="2"/>
          </rPr>
          <t>Tähän on laskettu arvio koneiden ja laitteiden sekä rakennusten kunnossapitokustannuksista, €/ha
Muuta tarvittaessa kunnossapitoprosentteja (kp-%) edellisissä kohdissa</t>
        </r>
      </text>
    </comment>
    <comment ref="R77" authorId="0" shapeId="0" xr:uid="{00000000-0006-0000-0F00-000027000000}">
      <text>
        <r>
          <rPr>
            <sz val="9"/>
            <color indexed="81"/>
            <rFont val="Tahoma"/>
            <family val="2"/>
          </rPr>
          <t xml:space="preserve">Kirjanpidosta: Koneiden ja laitteiden sekä rakennusten huolto- ja kunnossapitomenot, €/vuosi
</t>
        </r>
        <r>
          <rPr>
            <b/>
            <sz val="9"/>
            <color indexed="81"/>
            <rFont val="Tahoma"/>
            <family val="2"/>
          </rPr>
          <t>tai</t>
        </r>
        <r>
          <rPr>
            <sz val="9"/>
            <color indexed="81"/>
            <rFont val="Tahoma"/>
            <family val="2"/>
          </rPr>
          <t xml:space="preserve"> 
Arvio: Kone - ja rakennuspääoma kertaa kp-% (Q33)</t>
        </r>
      </text>
    </comment>
    <comment ref="X77" authorId="0" shapeId="0" xr:uid="{00000000-0006-0000-0F00-000028000000}">
      <text>
        <r>
          <rPr>
            <sz val="9"/>
            <color indexed="81"/>
            <rFont val="Tahoma"/>
            <family val="2"/>
          </rPr>
          <t>Tähän on laskettu arvio koneiden ja laitteiden sekä rakennusten kunnossapitokustannuksista, €/ha
Muuta tarvittaessa kunnossapitoprosentteja (kp-%) edellisissä kohdissa</t>
        </r>
      </text>
    </comment>
    <comment ref="I78" authorId="0" shapeId="0" xr:uid="{00000000-0006-0000-0F00-000029000000}">
      <text>
        <r>
          <rPr>
            <sz val="9"/>
            <color indexed="81"/>
            <rFont val="Tahoma"/>
            <family val="2"/>
          </rPr>
          <t>Keskimääräinen pääoman korko (vertailulaskelmissa 5
%)</t>
        </r>
      </text>
    </comment>
    <comment ref="X78" authorId="0" shapeId="0" xr:uid="{00000000-0006-0000-0F00-00002A000000}">
      <text>
        <r>
          <rPr>
            <sz val="9"/>
            <color indexed="81"/>
            <rFont val="Tahoma"/>
            <family val="2"/>
          </rPr>
          <t>Keskimääräinen pääoman korko (vertailulaskelmissa 5
%)</t>
        </r>
      </text>
    </comment>
    <comment ref="C79" authorId="0" shapeId="0" xr:uid="{00000000-0006-0000-0F00-00002B000000}">
      <text>
        <r>
          <rPr>
            <sz val="9"/>
            <color indexed="81"/>
            <rFont val="Tahoma"/>
            <family val="2"/>
          </rPr>
          <t>Yleiskustannus on arvioitu:
Liikevaihto (tuotot + tuet) x 6%*
   *muuta prosenttia tarvittaessa kohdassa Q40
Yleiskustannus tarkoittaa kaikkia niitä tuotantoon liittyviä kustannuksia, joita ei ole laskettu edellä muuttuviin, työ tai kiinteisiin kustannuksiin.
Yleiskustannuksia ovat esimerkiksi: Myel ja Mata, sähkö, vesi, jäte, puhelin ym.</t>
        </r>
      </text>
    </comment>
    <comment ref="I79" authorId="0" shapeId="0" xr:uid="{00000000-0006-0000-0F00-00002C000000}">
      <text>
        <r>
          <rPr>
            <sz val="9"/>
            <color indexed="81"/>
            <rFont val="Tahoma"/>
            <family val="2"/>
          </rPr>
          <t xml:space="preserve">Yleiskustannusten osuus on keskimäärin 6% liikevaihdosta (tuotot + tuet) </t>
        </r>
      </text>
    </comment>
    <comment ref="R79" authorId="0" shapeId="0" xr:uid="{00000000-0006-0000-0F00-00002D000000}">
      <text>
        <r>
          <rPr>
            <sz val="9"/>
            <color indexed="81"/>
            <rFont val="Tahoma"/>
            <family val="2"/>
          </rPr>
          <t>Yleiskustannus on arvioitu:
Liikevaihto (tuotot + tuet) x 6%*
   *muuta prosenttia tarvittaessa kohdassa Q40
Yleiskustannus tarkoittaa kaikkia niitä tuotantoon liittyviä kustannuksia, joita ei ole laskettu edellä muuttuviin, työ tai kiinteisiin kustannuksiin.
Yleiskustannuksia ovat esimerkiksi: Myel ja Mata, sähkö, vesi, jäte, puhelin ym.</t>
        </r>
      </text>
    </comment>
    <comment ref="X79" authorId="0" shapeId="0" xr:uid="{00000000-0006-0000-0F00-00002E000000}">
      <text>
        <r>
          <rPr>
            <sz val="9"/>
            <color indexed="81"/>
            <rFont val="Tahoma"/>
            <family val="2"/>
          </rPr>
          <t xml:space="preserve">Yleiskustannusten osuus on keskimäärin 6% liikevaihdosta (tuotot + tuet) </t>
        </r>
      </text>
    </comment>
    <comment ref="F81" authorId="0" shapeId="0" xr:uid="{00000000-0006-0000-0F00-00002F000000}">
      <text>
        <r>
          <rPr>
            <sz val="9"/>
            <color indexed="81"/>
            <rFont val="Tahoma"/>
            <family val="2"/>
          </rPr>
          <t>Kaikki emolehmäntuotannosta aiheutuneet kustannukset yhteensä €/emolehmä/vuosi</t>
        </r>
      </text>
    </comment>
    <comment ref="U81" authorId="0" shapeId="0" xr:uid="{00000000-0006-0000-0F00-000030000000}">
      <text>
        <r>
          <rPr>
            <sz val="9"/>
            <color indexed="81"/>
            <rFont val="Tahoma"/>
            <family val="2"/>
          </rPr>
          <t>Kaikki emolehmäntuotannosta aiheutuneet kustannukset yhteensä €/emolehmä/vuosi</t>
        </r>
      </text>
    </comment>
    <comment ref="F82" authorId="0" shapeId="0" xr:uid="{00000000-0006-0000-0F00-000031000000}">
      <text>
        <r>
          <rPr>
            <sz val="9"/>
            <color indexed="81"/>
            <rFont val="Tahoma"/>
            <family val="2"/>
          </rPr>
          <t>Tässä oletetaan, että muiden tuottojen tuottamiseen on käytetty saman verran kustannuksia, kuin niistä on aiheutunut tuottoja</t>
        </r>
      </text>
    </comment>
    <comment ref="I82" authorId="0" shapeId="0" xr:uid="{00000000-0006-0000-0F00-000032000000}">
      <text>
        <r>
          <rPr>
            <sz val="9"/>
            <color indexed="81"/>
            <rFont val="Tahoma"/>
            <family val="2"/>
          </rPr>
          <t>Muiden tuottojen tuottamisesta aiheutuvien kustannusten prosenttiosuus 
(= muiden tuottojen osuus tuotoista)</t>
        </r>
      </text>
    </comment>
    <comment ref="U82" authorId="0" shapeId="0" xr:uid="{00000000-0006-0000-0F00-000033000000}">
      <text>
        <r>
          <rPr>
            <sz val="9"/>
            <color indexed="81"/>
            <rFont val="Tahoma"/>
            <family val="2"/>
          </rPr>
          <t>Tässä oletetaan, että muiden tuottojen tuottamiseen on käytetty saman verran kustannuksia, kuin niistä on aiheutunut tuottoja</t>
        </r>
      </text>
    </comment>
    <comment ref="X82" authorId="0" shapeId="0" xr:uid="{00000000-0006-0000-0F00-000034000000}">
      <text>
        <r>
          <rPr>
            <sz val="9"/>
            <color indexed="81"/>
            <rFont val="Tahoma"/>
            <family val="2"/>
          </rPr>
          <t>Muiden tuottojen tuottamisesta aiheutuvien kustannusten prosenttiosuus 
(= muiden tuottojen osuus tuotoista)</t>
        </r>
      </text>
    </comment>
    <comment ref="C92" authorId="0" shapeId="0" xr:uid="{00000000-0006-0000-0F00-000035000000}">
      <text>
        <r>
          <rPr>
            <sz val="9"/>
            <color indexed="81"/>
            <rFont val="Tahoma"/>
            <family val="2"/>
          </rPr>
          <t>Esim. poistolehmän ja siitossonnin myynti, €/vuosi</t>
        </r>
      </text>
    </comment>
    <comment ref="R92" authorId="0" shapeId="0" xr:uid="{00000000-0006-0000-0F00-000036000000}">
      <text>
        <r>
          <rPr>
            <sz val="9"/>
            <color indexed="81"/>
            <rFont val="Tahoma"/>
            <family val="2"/>
          </rPr>
          <t>Esim. poistolehmän ja siitossonnin myynti, €/vuosi</t>
        </r>
      </text>
    </comment>
    <comment ref="E98" authorId="0" shapeId="0" xr:uid="{00000000-0006-0000-0F00-000037000000}">
      <text>
        <r>
          <rPr>
            <sz val="9"/>
            <color indexed="81"/>
            <rFont val="Tahoma"/>
            <family val="2"/>
          </rPr>
          <t xml:space="preserve">Käytä rehujen hintoina </t>
        </r>
        <r>
          <rPr>
            <b/>
            <sz val="9"/>
            <color indexed="81"/>
            <rFont val="Tahoma"/>
            <family val="2"/>
          </rPr>
          <t>oletettuja markkinahintoja</t>
        </r>
        <r>
          <rPr>
            <sz val="9"/>
            <color indexed="81"/>
            <rFont val="Tahoma"/>
            <family val="2"/>
          </rPr>
          <t xml:space="preserve">
paitsi </t>
        </r>
        <r>
          <rPr>
            <b/>
            <sz val="9"/>
            <color indexed="81"/>
            <rFont val="Tahoma"/>
            <family val="2"/>
          </rPr>
          <t>säilörehun hintana käytetään säilörehun tuotantokustannusta</t>
        </r>
        <r>
          <rPr>
            <sz val="9"/>
            <color indexed="81"/>
            <rFont val="Tahoma"/>
            <family val="2"/>
          </rPr>
          <t xml:space="preserve"> miinus peltoviljelyn (säilörehuntuotannon) tuet
Voit kokeilla laskelmassa säilörehun tuotantokustannuksen sijaan markkinahintaa ja vertailla muutosta tuotantokustannushintaan.
Vertailu paljastaa rehuntuotannon kalleuden / edullisuuden.
</t>
        </r>
      </text>
    </comment>
    <comment ref="T98" authorId="0" shapeId="0" xr:uid="{00000000-0006-0000-0F00-000038000000}">
      <text>
        <r>
          <rPr>
            <sz val="9"/>
            <color indexed="81"/>
            <rFont val="Tahoma"/>
            <family val="2"/>
          </rPr>
          <t xml:space="preserve">Käytä rehujen hintoina </t>
        </r>
        <r>
          <rPr>
            <b/>
            <sz val="9"/>
            <color indexed="81"/>
            <rFont val="Tahoma"/>
            <family val="2"/>
          </rPr>
          <t>oletettuja markkinahintoja</t>
        </r>
        <r>
          <rPr>
            <sz val="9"/>
            <color indexed="81"/>
            <rFont val="Tahoma"/>
            <family val="2"/>
          </rPr>
          <t xml:space="preserve">
paitsi </t>
        </r>
        <r>
          <rPr>
            <b/>
            <sz val="9"/>
            <color indexed="81"/>
            <rFont val="Tahoma"/>
            <family val="2"/>
          </rPr>
          <t>säilörehun hintana käytetään säilörehun tuotantokustannusta</t>
        </r>
        <r>
          <rPr>
            <sz val="9"/>
            <color indexed="81"/>
            <rFont val="Tahoma"/>
            <family val="2"/>
          </rPr>
          <t xml:space="preserve"> miinus peltoviljelyn (säilörehuntuotannon) tuet
Voit kokeilla laskelmassa säilörehun tuotantokustannuksen sijaan markkinahintaa ja vertailla muutosta tuotantokustannushintaan.
Vertailu paljastaa rehuntuotannon kalleuden / edullisuuden.
</t>
        </r>
      </text>
    </comment>
    <comment ref="E99" authorId="0" shapeId="0" xr:uid="{00000000-0006-0000-0F00-000039000000}">
      <text>
        <r>
          <rPr>
            <sz val="9"/>
            <color indexed="81"/>
            <rFont val="Tahoma"/>
            <family val="2"/>
          </rPr>
          <t>Säilörehun tuotantokustannus miinus peltoviljelyn (säilörehuntuotannon) tuet</t>
        </r>
      </text>
    </comment>
    <comment ref="T99" authorId="0" shapeId="0" xr:uid="{00000000-0006-0000-0F00-00003A000000}">
      <text>
        <r>
          <rPr>
            <sz val="9"/>
            <color indexed="81"/>
            <rFont val="Tahoma"/>
            <family val="2"/>
          </rPr>
          <t>Säilörehun tuotantokustannus miinus peltoviljelyn (säilörehuntuotannon) tuet</t>
        </r>
      </text>
    </comment>
    <comment ref="I113" authorId="0" shapeId="0" xr:uid="{00000000-0006-0000-0F00-00003B000000}">
      <text>
        <r>
          <rPr>
            <sz val="9"/>
            <color indexed="81"/>
            <rFont val="Tahoma"/>
            <family val="2"/>
          </rPr>
          <t>Liikepääomaprosentti on mallilaskelmista (tuottopuntari.fi)
Liikepääomaprosentti kertoo kuinka pitkäksi aikaa pääoma (tuotantopanokset + palkkavaatimus) keskimäärin sitoutuu tuotantoon.
Esim. 50 % tarkoittaa, että pääoma sitoutuu tuotantoon keskimäärin puoleksi vuodeksi.</t>
        </r>
      </text>
    </comment>
    <comment ref="X113" authorId="0" shapeId="0" xr:uid="{00000000-0006-0000-0F00-00003C000000}">
      <text>
        <r>
          <rPr>
            <sz val="9"/>
            <color indexed="81"/>
            <rFont val="Tahoma"/>
            <family val="2"/>
          </rPr>
          <t>Liikepääomaprosentti on mallilaskelmista (tuottopuntari.fi)
Liikepääomaprosentti kertoo kuinka pitkäksi aikaa pääoma (tuotantopanokset + palkkavaatimus) keskimäärin sitoutuu tuotantoon.
Esim. 50 % tarkoittaa, että pääoma sitoutuu tuotantoon keskimäärin puoleksi vuodeksi.</t>
        </r>
      </text>
    </comment>
    <comment ref="D115" authorId="0" shapeId="0" xr:uid="{00000000-0006-0000-0F00-00003D000000}">
      <text>
        <r>
          <rPr>
            <sz val="9"/>
            <color indexed="81"/>
            <rFont val="Tahoma"/>
            <family val="2"/>
          </rPr>
          <t>Kotieläintuotannon työtunteja keskimäärin / päivä</t>
        </r>
      </text>
    </comment>
    <comment ref="S115" authorId="0" shapeId="0" xr:uid="{00000000-0006-0000-0F00-00003E000000}">
      <text>
        <r>
          <rPr>
            <sz val="9"/>
            <color indexed="81"/>
            <rFont val="Tahoma"/>
            <family val="2"/>
          </rPr>
          <t>Kotieläintuotannon työtunteja keskimäärin / päivä</t>
        </r>
      </text>
    </comment>
    <comment ref="D120" authorId="0" shapeId="0" xr:uid="{00000000-0006-0000-0F00-00003F000000}">
      <text>
        <r>
          <rPr>
            <sz val="9"/>
            <color indexed="81"/>
            <rFont val="Tahoma"/>
            <family val="2"/>
          </rPr>
          <t xml:space="preserve">Määritä </t>
        </r>
        <r>
          <rPr>
            <b/>
            <sz val="9"/>
            <color indexed="81"/>
            <rFont val="Tahoma"/>
            <family val="2"/>
          </rPr>
          <t>kotieläintuotannon</t>
        </r>
        <r>
          <rPr>
            <sz val="9"/>
            <color indexed="81"/>
            <rFont val="Tahoma"/>
            <family val="2"/>
          </rPr>
          <t xml:space="preserve"> kone- ja rakennuspääoma, jonka perusteella lasketaan kiinteät kustannukset: poisto, korko ja kunnossapito:
Laskelmassa on oletuksena, että poistojen määrä on sama kuin keskimääräiset kone- ja rakennushankinnat vuodessa. 
Kun koneiden ja rakennusten vuosipoisto on sama kuin keskimääräiset hankinnat vuodessa, niin pääoma pysyy samana! Kehittävälllä tilalla käytännössä lisääntyvät kone- ja rakennushankinnat voivat ylittää laskennalliset poistot, mutta tällä laskentatavalla uudet rakennusinvestoinnit näkyvät suoraan kiinteiden kustannusten kasvuna. 
Viisitoistavuotta vanhempia koneita ja rakennuksia ei tässä huomioida.
Kone- ja rakennuspääoman oletetaan olevan sama kuin viidentoista vuoden rakennushankintojen yhteismäärä. 
</t>
        </r>
      </text>
    </comment>
    <comment ref="S120" authorId="0" shapeId="0" xr:uid="{00000000-0006-0000-0F00-000040000000}">
      <text>
        <r>
          <rPr>
            <sz val="9"/>
            <color indexed="81"/>
            <rFont val="Tahoma"/>
            <family val="2"/>
          </rPr>
          <t xml:space="preserve">Määritä </t>
        </r>
        <r>
          <rPr>
            <b/>
            <sz val="9"/>
            <color indexed="81"/>
            <rFont val="Tahoma"/>
            <family val="2"/>
          </rPr>
          <t>kotieläintuotannon</t>
        </r>
        <r>
          <rPr>
            <sz val="9"/>
            <color indexed="81"/>
            <rFont val="Tahoma"/>
            <family val="2"/>
          </rPr>
          <t xml:space="preserve"> kone- ja rakennuspääoma, jonka perusteella lasketaan kiinteät kustannukset: poisto, korko ja kunnossapito:
Laskelmassa on oletuksena, että poistojen määrä on sama kuin keskimääräiset kone- ja rakennushankinnat vuodessa. 
Kun koneiden ja rakennusten vuosipoisto on sama kuin keskimääräiset hankinnat vuodessa, niin pääoma pysyy samana! Kehittävälllä tilalla käytännössä lisääntyvät kone- ja rakennushankinnat voivat ylittää laskennalliset poistot, mutta tällä laskentatavalla uudet rakennusinvestoinnit näkyvät suoraan kiinteiden kustannusten kasvuna. 
Viisitoistavuotta vanhempia koneita ja rakennuksia ei tässä huomioida.
Kone- ja rakennuspääoman oletetaan olevan sama kuin viidentoista vuoden rakennushankintojen yhteismäärä. 
</t>
        </r>
      </text>
    </comment>
    <comment ref="I121" authorId="0" shapeId="0" xr:uid="{00000000-0006-0000-0F00-000041000000}">
      <text>
        <r>
          <rPr>
            <sz val="9"/>
            <color indexed="81"/>
            <rFont val="Tahoma"/>
            <family val="2"/>
          </rPr>
          <t>Koneiden ja laitteiden keskimääräinen kunnossapitoprosentti hankintahinnasta
(vertailulaskelmissa 3%)</t>
        </r>
      </text>
    </comment>
    <comment ref="X121" authorId="0" shapeId="0" xr:uid="{00000000-0006-0000-0F00-000042000000}">
      <text>
        <r>
          <rPr>
            <sz val="9"/>
            <color indexed="81"/>
            <rFont val="Tahoma"/>
            <family val="2"/>
          </rPr>
          <t>Koneiden ja laitteiden keskimääräinen kunnossapitoprosentti hankintahinnasta
(vertailulaskelmissa 3%)</t>
        </r>
      </text>
    </comment>
    <comment ref="I122" authorId="0" shapeId="0" xr:uid="{00000000-0006-0000-0F00-000043000000}">
      <text>
        <r>
          <rPr>
            <sz val="9"/>
            <color indexed="81"/>
            <rFont val="Tahoma"/>
            <family val="2"/>
          </rPr>
          <t>Rakennusten keskimääräinen kunnossapitoprosentti hankintahinnasta
(vertailulaskelmissa 1%)</t>
        </r>
      </text>
    </comment>
    <comment ref="X122" authorId="0" shapeId="0" xr:uid="{00000000-0006-0000-0F00-000044000000}">
      <text>
        <r>
          <rPr>
            <sz val="9"/>
            <color indexed="81"/>
            <rFont val="Tahoma"/>
            <family val="2"/>
          </rPr>
          <t>Rakennusten keskimääräinen kunnossapitoprosentti hankintahinnasta
(vertailulaskelmissa 1%)</t>
        </r>
      </text>
    </comment>
    <comment ref="C123" authorId="0" shapeId="0" xr:uid="{00000000-0006-0000-0F00-000045000000}">
      <text>
        <r>
          <rPr>
            <sz val="9"/>
            <color indexed="81"/>
            <rFont val="Tahoma"/>
            <family val="2"/>
          </rPr>
          <t xml:space="preserve">Kirjanpidosta: Koneiden ja laitteiden sekä rakennusten huolto- ja kunnossapitomenot, €/vuosi
</t>
        </r>
        <r>
          <rPr>
            <b/>
            <sz val="9"/>
            <color indexed="81"/>
            <rFont val="Tahoma"/>
            <family val="2"/>
          </rPr>
          <t>tai</t>
        </r>
        <r>
          <rPr>
            <sz val="9"/>
            <color indexed="81"/>
            <rFont val="Tahoma"/>
            <family val="2"/>
          </rPr>
          <t xml:space="preserve"> 
Arvio: Kone - ja rakennuspääoma kertaa kp-% (Q33)</t>
        </r>
      </text>
    </comment>
    <comment ref="I123" authorId="0" shapeId="0" xr:uid="{00000000-0006-0000-0F00-000046000000}">
      <text>
        <r>
          <rPr>
            <sz val="9"/>
            <color indexed="81"/>
            <rFont val="Tahoma"/>
            <family val="2"/>
          </rPr>
          <t>Tähän on laskettu arvio koneiden ja laitteiden sekä rakennusten kunnossapitokustannuksista, €/ha
Muuta tarvittaessa kunnossapitoprosentteja (kp-%) edellisissä kohdissa</t>
        </r>
      </text>
    </comment>
    <comment ref="R123" authorId="0" shapeId="0" xr:uid="{00000000-0006-0000-0F00-000047000000}">
      <text>
        <r>
          <rPr>
            <sz val="9"/>
            <color indexed="81"/>
            <rFont val="Tahoma"/>
            <family val="2"/>
          </rPr>
          <t xml:space="preserve">Kirjanpidosta: Koneiden ja laitteiden sekä rakennusten huolto- ja kunnossapitomenot, €/vuosi
</t>
        </r>
        <r>
          <rPr>
            <b/>
            <sz val="9"/>
            <color indexed="81"/>
            <rFont val="Tahoma"/>
            <family val="2"/>
          </rPr>
          <t>tai</t>
        </r>
        <r>
          <rPr>
            <sz val="9"/>
            <color indexed="81"/>
            <rFont val="Tahoma"/>
            <family val="2"/>
          </rPr>
          <t xml:space="preserve"> 
Arvio: Kone - ja rakennuspääoma kertaa kp-% (Q33)</t>
        </r>
      </text>
    </comment>
    <comment ref="X123" authorId="0" shapeId="0" xr:uid="{00000000-0006-0000-0F00-000048000000}">
      <text>
        <r>
          <rPr>
            <sz val="9"/>
            <color indexed="81"/>
            <rFont val="Tahoma"/>
            <family val="2"/>
          </rPr>
          <t>Tähän on laskettu arvio koneiden ja laitteiden sekä rakennusten kunnossapitokustannuksista, €/ha
Muuta tarvittaessa kunnossapitoprosentteja (kp-%) edellisissä kohdissa</t>
        </r>
      </text>
    </comment>
    <comment ref="I124" authorId="0" shapeId="0" xr:uid="{00000000-0006-0000-0F00-000049000000}">
      <text>
        <r>
          <rPr>
            <sz val="9"/>
            <color indexed="81"/>
            <rFont val="Tahoma"/>
            <family val="2"/>
          </rPr>
          <t>Keskimääräinen pääoman korko (vertailulaskelmissa 5
%)</t>
        </r>
      </text>
    </comment>
    <comment ref="X124" authorId="0" shapeId="0" xr:uid="{00000000-0006-0000-0F00-00004A000000}">
      <text>
        <r>
          <rPr>
            <sz val="9"/>
            <color indexed="81"/>
            <rFont val="Tahoma"/>
            <family val="2"/>
          </rPr>
          <t>Keskimääräinen pääoman korko (vertailulaskelmissa 5
%)</t>
        </r>
      </text>
    </comment>
    <comment ref="C125" authorId="0" shapeId="0" xr:uid="{00000000-0006-0000-0F00-00004B000000}">
      <text>
        <r>
          <rPr>
            <sz val="9"/>
            <color indexed="81"/>
            <rFont val="Tahoma"/>
            <family val="2"/>
          </rPr>
          <t>Yleiskustannus on arvioitu:
Liikevaihto (tuotot + tuet) x 6%*
   *muuta prosenttia tarvittaessa kohdassa Q40
Yleiskustannus tarkoittaa kaikkia niitä tuotantoon liittyviä kustannuksia, joita ei ole laskettu edellä muuttuviin, työ tai kiinteisiin kustannuksiin.
Yleiskustannuksia ovat esimerkiksi: Myel ja Mata, sähkö, vesi, jäte, puhelin ym.</t>
        </r>
      </text>
    </comment>
    <comment ref="I125" authorId="0" shapeId="0" xr:uid="{00000000-0006-0000-0F00-00004C000000}">
      <text>
        <r>
          <rPr>
            <sz val="9"/>
            <color indexed="81"/>
            <rFont val="Tahoma"/>
            <family val="2"/>
          </rPr>
          <t xml:space="preserve">Yleiskustannusten osuus on keskimäärin 6% liikevaihdosta (tuotot + tuet) </t>
        </r>
      </text>
    </comment>
    <comment ref="R125" authorId="0" shapeId="0" xr:uid="{00000000-0006-0000-0F00-00004D000000}">
      <text>
        <r>
          <rPr>
            <sz val="9"/>
            <color indexed="81"/>
            <rFont val="Tahoma"/>
            <family val="2"/>
          </rPr>
          <t>Yleiskustannus on arvioitu:
Liikevaihto (tuotot + tuet) x 6%*
   *muuta prosenttia tarvittaessa kohdassa Q40
Yleiskustannus tarkoittaa kaikkia niitä tuotantoon liittyviä kustannuksia, joita ei ole laskettu edellä muuttuviin, työ tai kiinteisiin kustannuksiin.
Yleiskustannuksia ovat esimerkiksi: Myel ja Mata, sähkö, vesi, jäte, puhelin ym.</t>
        </r>
      </text>
    </comment>
    <comment ref="X125" authorId="0" shapeId="0" xr:uid="{00000000-0006-0000-0F00-00004E000000}">
      <text>
        <r>
          <rPr>
            <sz val="9"/>
            <color indexed="81"/>
            <rFont val="Tahoma"/>
            <family val="2"/>
          </rPr>
          <t xml:space="preserve">Yleiskustannusten osuus on keskimäärin 6% liikevaihdosta (tuotot + tuet) </t>
        </r>
      </text>
    </comment>
    <comment ref="F127" authorId="0" shapeId="0" xr:uid="{00000000-0006-0000-0F00-00004F000000}">
      <text>
        <r>
          <rPr>
            <sz val="9"/>
            <color indexed="81"/>
            <rFont val="Tahoma"/>
            <family val="2"/>
          </rPr>
          <t>Kaikki emolehmäntuotannosta aiheutuneet kustannukset yhteensä €/emolehmä/vuosi</t>
        </r>
      </text>
    </comment>
    <comment ref="U127" authorId="0" shapeId="0" xr:uid="{00000000-0006-0000-0F00-000050000000}">
      <text>
        <r>
          <rPr>
            <sz val="9"/>
            <color indexed="81"/>
            <rFont val="Tahoma"/>
            <family val="2"/>
          </rPr>
          <t>Kaikki emolehmäntuotannosta aiheutuneet kustannukset yhteensä €/emolehmä/vuosi</t>
        </r>
      </text>
    </comment>
    <comment ref="F128" authorId="0" shapeId="0" xr:uid="{00000000-0006-0000-0F00-000051000000}">
      <text>
        <r>
          <rPr>
            <sz val="9"/>
            <color indexed="81"/>
            <rFont val="Tahoma"/>
            <family val="2"/>
          </rPr>
          <t>Tässä oletetaan, että muiden tuottojen tuottamiseen on käytetty saman verran kustannuksia, kuin niistä on aiheutunut tuottoja</t>
        </r>
      </text>
    </comment>
    <comment ref="I128" authorId="0" shapeId="0" xr:uid="{00000000-0006-0000-0F00-000052000000}">
      <text>
        <r>
          <rPr>
            <sz val="9"/>
            <color indexed="81"/>
            <rFont val="Tahoma"/>
            <family val="2"/>
          </rPr>
          <t>Muiden tuottojen tuottamisesta aiheutuvien kustannusten prosenttiosuus 
(= muiden tuottojen osuus tuotoista)</t>
        </r>
      </text>
    </comment>
    <comment ref="U128" authorId="0" shapeId="0" xr:uid="{00000000-0006-0000-0F00-000053000000}">
      <text>
        <r>
          <rPr>
            <sz val="9"/>
            <color indexed="81"/>
            <rFont val="Tahoma"/>
            <family val="2"/>
          </rPr>
          <t>Tässä oletetaan, että muiden tuottojen tuottamiseen on käytetty saman verran kustannuksia, kuin niistä on aiheutunut tuottoja</t>
        </r>
      </text>
    </comment>
    <comment ref="X128" authorId="0" shapeId="0" xr:uid="{00000000-0006-0000-0F00-000054000000}">
      <text>
        <r>
          <rPr>
            <sz val="9"/>
            <color indexed="81"/>
            <rFont val="Tahoma"/>
            <family val="2"/>
          </rPr>
          <t>Muiden tuottojen tuottamisesta aiheutuvien kustannusten prosenttiosuus 
(= muiden tuottojen osuus tuotoista)</t>
        </r>
      </text>
    </comment>
    <comment ref="C138" authorId="0" shapeId="0" xr:uid="{00000000-0006-0000-0F00-000055000000}">
      <text>
        <r>
          <rPr>
            <sz val="9"/>
            <color indexed="81"/>
            <rFont val="Tahoma"/>
            <family val="2"/>
          </rPr>
          <t>Esim. poistolehmän ja siitossonnin myynti, €/vuosi</t>
        </r>
      </text>
    </comment>
    <comment ref="R138" authorId="0" shapeId="0" xr:uid="{00000000-0006-0000-0F00-000056000000}">
      <text>
        <r>
          <rPr>
            <sz val="9"/>
            <color indexed="81"/>
            <rFont val="Tahoma"/>
            <family val="2"/>
          </rPr>
          <t>Esim. poistolehmän ja siitossonnin myynti, €/vuosi</t>
        </r>
      </text>
    </comment>
    <comment ref="E144" authorId="0" shapeId="0" xr:uid="{00000000-0006-0000-0F00-000057000000}">
      <text>
        <r>
          <rPr>
            <sz val="9"/>
            <color indexed="81"/>
            <rFont val="Tahoma"/>
            <family val="2"/>
          </rPr>
          <t xml:space="preserve">Käytä rehujen hintoina </t>
        </r>
        <r>
          <rPr>
            <b/>
            <sz val="9"/>
            <color indexed="81"/>
            <rFont val="Tahoma"/>
            <family val="2"/>
          </rPr>
          <t>oletettuja markkinahintoja</t>
        </r>
        <r>
          <rPr>
            <sz val="9"/>
            <color indexed="81"/>
            <rFont val="Tahoma"/>
            <family val="2"/>
          </rPr>
          <t xml:space="preserve">
paitsi </t>
        </r>
        <r>
          <rPr>
            <b/>
            <sz val="9"/>
            <color indexed="81"/>
            <rFont val="Tahoma"/>
            <family val="2"/>
          </rPr>
          <t>säilörehun hintana käytetään säilörehun tuotantokustannusta</t>
        </r>
        <r>
          <rPr>
            <sz val="9"/>
            <color indexed="81"/>
            <rFont val="Tahoma"/>
            <family val="2"/>
          </rPr>
          <t xml:space="preserve"> miinus peltoviljelyn (säilörehuntuotannon) tuet
Voit kokeilla laskelmassa säilörehun tuotantokustannuksen sijaan markkinahintaa ja vertailla muutosta tuotantokustannushintaan.
Vertailu paljastaa rehuntuotannon kalleuden / edullisuuden.
</t>
        </r>
      </text>
    </comment>
    <comment ref="T144" authorId="0" shapeId="0" xr:uid="{00000000-0006-0000-0F00-000058000000}">
      <text>
        <r>
          <rPr>
            <sz val="9"/>
            <color indexed="81"/>
            <rFont val="Tahoma"/>
            <family val="2"/>
          </rPr>
          <t xml:space="preserve">Käytä rehujen hintoina </t>
        </r>
        <r>
          <rPr>
            <b/>
            <sz val="9"/>
            <color indexed="81"/>
            <rFont val="Tahoma"/>
            <family val="2"/>
          </rPr>
          <t>oletettuja markkinahintoja</t>
        </r>
        <r>
          <rPr>
            <sz val="9"/>
            <color indexed="81"/>
            <rFont val="Tahoma"/>
            <family val="2"/>
          </rPr>
          <t xml:space="preserve">
paitsi </t>
        </r>
        <r>
          <rPr>
            <b/>
            <sz val="9"/>
            <color indexed="81"/>
            <rFont val="Tahoma"/>
            <family val="2"/>
          </rPr>
          <t>säilörehun hintana käytetään säilörehun tuotantokustannusta</t>
        </r>
        <r>
          <rPr>
            <sz val="9"/>
            <color indexed="81"/>
            <rFont val="Tahoma"/>
            <family val="2"/>
          </rPr>
          <t xml:space="preserve"> miinus peltoviljelyn (säilörehuntuotannon) tuet
Voit kokeilla laskelmassa säilörehun tuotantokustannuksen sijaan markkinahintaa ja vertailla muutosta tuotantokustannushintaan.
Vertailu paljastaa rehuntuotannon kalleuden / edullisuuden.
</t>
        </r>
      </text>
    </comment>
    <comment ref="E145" authorId="0" shapeId="0" xr:uid="{00000000-0006-0000-0F00-000059000000}">
      <text>
        <r>
          <rPr>
            <sz val="9"/>
            <color indexed="81"/>
            <rFont val="Tahoma"/>
            <family val="2"/>
          </rPr>
          <t>Säilörehun tuotantokustannus miinus peltoviljelyn (säilörehuntuotannon) tuet</t>
        </r>
      </text>
    </comment>
    <comment ref="T145" authorId="0" shapeId="0" xr:uid="{00000000-0006-0000-0F00-00005A000000}">
      <text>
        <r>
          <rPr>
            <sz val="9"/>
            <color indexed="81"/>
            <rFont val="Tahoma"/>
            <family val="2"/>
          </rPr>
          <t>Säilörehun tuotantokustannus miinus peltoviljelyn (säilörehuntuotannon) tuet</t>
        </r>
      </text>
    </comment>
    <comment ref="I159" authorId="0" shapeId="0" xr:uid="{00000000-0006-0000-0F00-00005B000000}">
      <text>
        <r>
          <rPr>
            <sz val="9"/>
            <color indexed="81"/>
            <rFont val="Tahoma"/>
            <family val="2"/>
          </rPr>
          <t>Liikepääomaprosentti on mallilaskelmista (tuottopuntari.fi)
Liikepääomaprosentti kertoo kuinka pitkäksi aikaa pääoma (tuotantopanokset + palkkavaatimus) keskimäärin sitoutuu tuotantoon.
Esim. 50 % tarkoittaa, että pääoma sitoutuu tuotantoon keskimäärin puoleksi vuodeksi.</t>
        </r>
      </text>
    </comment>
    <comment ref="X159" authorId="0" shapeId="0" xr:uid="{00000000-0006-0000-0F00-00005C000000}">
      <text>
        <r>
          <rPr>
            <sz val="9"/>
            <color indexed="81"/>
            <rFont val="Tahoma"/>
            <family val="2"/>
          </rPr>
          <t>Liikepääomaprosentti on mallilaskelmista (tuottopuntari.fi)
Liikepääomaprosentti kertoo kuinka pitkäksi aikaa pääoma (tuotantopanokset + palkkavaatimus) keskimäärin sitoutuu tuotantoon.
Esim. 50 % tarkoittaa, että pääoma sitoutuu tuotantoon keskimäärin puoleksi vuodeksi.</t>
        </r>
      </text>
    </comment>
    <comment ref="D161" authorId="0" shapeId="0" xr:uid="{00000000-0006-0000-0F00-00005D000000}">
      <text>
        <r>
          <rPr>
            <sz val="9"/>
            <color indexed="81"/>
            <rFont val="Tahoma"/>
            <family val="2"/>
          </rPr>
          <t>Kotieläintuotannon työtunteja keskimäärin / päivä</t>
        </r>
      </text>
    </comment>
    <comment ref="S161" authorId="0" shapeId="0" xr:uid="{00000000-0006-0000-0F00-00005E000000}">
      <text>
        <r>
          <rPr>
            <sz val="9"/>
            <color indexed="81"/>
            <rFont val="Tahoma"/>
            <family val="2"/>
          </rPr>
          <t>Kotieläintuotannon työtunteja keskimäärin / päivä</t>
        </r>
      </text>
    </comment>
    <comment ref="D166" authorId="0" shapeId="0" xr:uid="{00000000-0006-0000-0F00-00005F000000}">
      <text>
        <r>
          <rPr>
            <sz val="9"/>
            <color indexed="81"/>
            <rFont val="Tahoma"/>
            <family val="2"/>
          </rPr>
          <t xml:space="preserve">Määritä </t>
        </r>
        <r>
          <rPr>
            <b/>
            <sz val="9"/>
            <color indexed="81"/>
            <rFont val="Tahoma"/>
            <family val="2"/>
          </rPr>
          <t>kotieläintuotannon</t>
        </r>
        <r>
          <rPr>
            <sz val="9"/>
            <color indexed="81"/>
            <rFont val="Tahoma"/>
            <family val="2"/>
          </rPr>
          <t xml:space="preserve"> kone- ja rakennuspääoma, jonka perusteella lasketaan kiinteät kustannukset: poisto, korko ja kunnossapito:
Laskelmassa on oletuksena, että poistojen määrä on sama kuin keskimääräiset kone- ja rakennushankinnat vuodessa. 
Kun koneiden ja rakennusten vuosipoisto on sama kuin keskimääräiset hankinnat vuodessa, niin pääoma pysyy samana! Kehittävälllä tilalla käytännössä lisääntyvät kone- ja rakennushankinnat voivat ylittää laskennalliset poistot, mutta tällä laskentatavalla uudet rakennusinvestoinnit näkyvät suoraan kiinteiden kustannusten kasvuna. 
Viisitoistavuotta vanhempia koneita ja rakennuksia ei tässä huomioida.
Kone- ja rakennuspääoman oletetaan olevan sama kuin viidentoista vuoden rakennushankintojen yhteismäärä. 
</t>
        </r>
      </text>
    </comment>
    <comment ref="S166" authorId="0" shapeId="0" xr:uid="{00000000-0006-0000-0F00-000060000000}">
      <text>
        <r>
          <rPr>
            <sz val="9"/>
            <color indexed="81"/>
            <rFont val="Tahoma"/>
            <family val="2"/>
          </rPr>
          <t xml:space="preserve">Määritä </t>
        </r>
        <r>
          <rPr>
            <b/>
            <sz val="9"/>
            <color indexed="81"/>
            <rFont val="Tahoma"/>
            <family val="2"/>
          </rPr>
          <t>kotieläintuotannon</t>
        </r>
        <r>
          <rPr>
            <sz val="9"/>
            <color indexed="81"/>
            <rFont val="Tahoma"/>
            <family val="2"/>
          </rPr>
          <t xml:space="preserve"> kone- ja rakennuspääoma, jonka perusteella lasketaan kiinteät kustannukset: poisto, korko ja kunnossapito:
Laskelmassa on oletuksena, että poistojen määrä on sama kuin keskimääräiset kone- ja rakennushankinnat vuodessa. 
Kun koneiden ja rakennusten vuosipoisto on sama kuin keskimääräiset hankinnat vuodessa, niin pääoma pysyy samana! Kehittävälllä tilalla käytännössä lisääntyvät kone- ja rakennushankinnat voivat ylittää laskennalliset poistot, mutta tällä laskentatavalla uudet rakennusinvestoinnit näkyvät suoraan kiinteiden kustannusten kasvuna. 
Viisitoistavuotta vanhempia koneita ja rakennuksia ei tässä huomioida.
Kone- ja rakennuspääoman oletetaan olevan sama kuin viidentoista vuoden rakennushankintojen yhteismäärä. 
</t>
        </r>
      </text>
    </comment>
    <comment ref="I167" authorId="0" shapeId="0" xr:uid="{00000000-0006-0000-0F00-000061000000}">
      <text>
        <r>
          <rPr>
            <sz val="9"/>
            <color indexed="81"/>
            <rFont val="Tahoma"/>
            <family val="2"/>
          </rPr>
          <t>Koneiden ja laitteiden keskimääräinen kunnossapitoprosentti hankintahinnasta
(vertailulaskelmissa 3%)</t>
        </r>
      </text>
    </comment>
    <comment ref="X167" authorId="0" shapeId="0" xr:uid="{00000000-0006-0000-0F00-000062000000}">
      <text>
        <r>
          <rPr>
            <sz val="9"/>
            <color indexed="81"/>
            <rFont val="Tahoma"/>
            <family val="2"/>
          </rPr>
          <t>Koneiden ja laitteiden keskimääräinen kunnossapitoprosentti hankintahinnasta
(vertailulaskelmissa 3%)</t>
        </r>
      </text>
    </comment>
    <comment ref="I168" authorId="0" shapeId="0" xr:uid="{00000000-0006-0000-0F00-000063000000}">
      <text>
        <r>
          <rPr>
            <sz val="9"/>
            <color indexed="81"/>
            <rFont val="Tahoma"/>
            <family val="2"/>
          </rPr>
          <t>Rakennusten keskimääräinen kunnossapitoprosentti hankintahinnasta
(vertailulaskelmissa 1%)</t>
        </r>
      </text>
    </comment>
    <comment ref="X168" authorId="0" shapeId="0" xr:uid="{00000000-0006-0000-0F00-000064000000}">
      <text>
        <r>
          <rPr>
            <sz val="9"/>
            <color indexed="81"/>
            <rFont val="Tahoma"/>
            <family val="2"/>
          </rPr>
          <t>Rakennusten keskimääräinen kunnossapitoprosentti hankintahinnasta
(vertailulaskelmissa 1%)</t>
        </r>
      </text>
    </comment>
    <comment ref="C169" authorId="0" shapeId="0" xr:uid="{00000000-0006-0000-0F00-000065000000}">
      <text>
        <r>
          <rPr>
            <sz val="9"/>
            <color indexed="81"/>
            <rFont val="Tahoma"/>
            <family val="2"/>
          </rPr>
          <t xml:space="preserve">Kirjanpidosta: Koneiden ja laitteiden sekä rakennusten huolto- ja kunnossapitomenot, €/vuosi
</t>
        </r>
        <r>
          <rPr>
            <b/>
            <sz val="9"/>
            <color indexed="81"/>
            <rFont val="Tahoma"/>
            <family val="2"/>
          </rPr>
          <t>tai</t>
        </r>
        <r>
          <rPr>
            <sz val="9"/>
            <color indexed="81"/>
            <rFont val="Tahoma"/>
            <family val="2"/>
          </rPr>
          <t xml:space="preserve"> 
Arvio: Kone - ja rakennuspääoma kertaa kp-% (Q33)</t>
        </r>
      </text>
    </comment>
    <comment ref="I169" authorId="0" shapeId="0" xr:uid="{00000000-0006-0000-0F00-000066000000}">
      <text>
        <r>
          <rPr>
            <sz val="9"/>
            <color indexed="81"/>
            <rFont val="Tahoma"/>
            <family val="2"/>
          </rPr>
          <t>Tähän on laskettu arvio koneiden ja laitteiden sekä rakennusten kunnossapitokustannuksista, €/ha
Muuta tarvittaessa kunnossapitoprosentteja (kp-%) edellisissä kohdissa</t>
        </r>
      </text>
    </comment>
    <comment ref="R169" authorId="0" shapeId="0" xr:uid="{00000000-0006-0000-0F00-000067000000}">
      <text>
        <r>
          <rPr>
            <sz val="9"/>
            <color indexed="81"/>
            <rFont val="Tahoma"/>
            <family val="2"/>
          </rPr>
          <t xml:space="preserve">Kirjanpidosta: Koneiden ja laitteiden sekä rakennusten huolto- ja kunnossapitomenot, €/vuosi
</t>
        </r>
        <r>
          <rPr>
            <b/>
            <sz val="9"/>
            <color indexed="81"/>
            <rFont val="Tahoma"/>
            <family val="2"/>
          </rPr>
          <t>tai</t>
        </r>
        <r>
          <rPr>
            <sz val="9"/>
            <color indexed="81"/>
            <rFont val="Tahoma"/>
            <family val="2"/>
          </rPr>
          <t xml:space="preserve"> 
Arvio: Kone - ja rakennuspääoma kertaa kp-% (Q33)</t>
        </r>
      </text>
    </comment>
    <comment ref="X169" authorId="0" shapeId="0" xr:uid="{00000000-0006-0000-0F00-000068000000}">
      <text>
        <r>
          <rPr>
            <sz val="9"/>
            <color indexed="81"/>
            <rFont val="Tahoma"/>
            <family val="2"/>
          </rPr>
          <t>Tähän on laskettu arvio koneiden ja laitteiden sekä rakennusten kunnossapitokustannuksista, €/ha
Muuta tarvittaessa kunnossapitoprosentteja (kp-%) edellisissä kohdissa</t>
        </r>
      </text>
    </comment>
    <comment ref="I170" authorId="0" shapeId="0" xr:uid="{00000000-0006-0000-0F00-000069000000}">
      <text>
        <r>
          <rPr>
            <sz val="9"/>
            <color indexed="81"/>
            <rFont val="Tahoma"/>
            <family val="2"/>
          </rPr>
          <t>Keskimääräinen pääoman korko (vertailulaskelmissa 5
%)</t>
        </r>
      </text>
    </comment>
    <comment ref="X170" authorId="0" shapeId="0" xr:uid="{00000000-0006-0000-0F00-00006A000000}">
      <text>
        <r>
          <rPr>
            <sz val="9"/>
            <color indexed="81"/>
            <rFont val="Tahoma"/>
            <family val="2"/>
          </rPr>
          <t>Keskimääräinen pääoman korko (vertailulaskelmissa 5
%)</t>
        </r>
      </text>
    </comment>
    <comment ref="C171" authorId="0" shapeId="0" xr:uid="{00000000-0006-0000-0F00-00006B000000}">
      <text>
        <r>
          <rPr>
            <sz val="9"/>
            <color indexed="81"/>
            <rFont val="Tahoma"/>
            <family val="2"/>
          </rPr>
          <t>Yleiskustannus on arvioitu:
Liikevaihto (tuotot + tuet) x 6%*
   *muuta prosenttia tarvittaessa kohdassa Q40
Yleiskustannus tarkoittaa kaikkia niitä tuotantoon liittyviä kustannuksia, joita ei ole laskettu edellä muuttuviin, työ tai kiinteisiin kustannuksiin.
Yleiskustannuksia ovat esimerkiksi: Myel ja Mata, sähkö, vesi, jäte, puhelin ym.</t>
        </r>
      </text>
    </comment>
    <comment ref="I171" authorId="0" shapeId="0" xr:uid="{00000000-0006-0000-0F00-00006C000000}">
      <text>
        <r>
          <rPr>
            <sz val="9"/>
            <color indexed="81"/>
            <rFont val="Tahoma"/>
            <family val="2"/>
          </rPr>
          <t xml:space="preserve">Yleiskustannusten osuus on keskimäärin 6% liikevaihdosta (tuotot + tuet) </t>
        </r>
      </text>
    </comment>
    <comment ref="R171" authorId="0" shapeId="0" xr:uid="{00000000-0006-0000-0F00-00006D000000}">
      <text>
        <r>
          <rPr>
            <sz val="9"/>
            <color indexed="81"/>
            <rFont val="Tahoma"/>
            <family val="2"/>
          </rPr>
          <t>Yleiskustannus on arvioitu:
Liikevaihto (tuotot + tuet) x 6%*
   *muuta prosenttia tarvittaessa kohdassa Q40
Yleiskustannus tarkoittaa kaikkia niitä tuotantoon liittyviä kustannuksia, joita ei ole laskettu edellä muuttuviin, työ tai kiinteisiin kustannuksiin.
Yleiskustannuksia ovat esimerkiksi: Myel ja Mata, sähkö, vesi, jäte, puhelin ym.</t>
        </r>
      </text>
    </comment>
    <comment ref="X171" authorId="0" shapeId="0" xr:uid="{00000000-0006-0000-0F00-00006E000000}">
      <text>
        <r>
          <rPr>
            <sz val="9"/>
            <color indexed="81"/>
            <rFont val="Tahoma"/>
            <family val="2"/>
          </rPr>
          <t xml:space="preserve">Yleiskustannusten osuus on keskimäärin 6% liikevaihdosta (tuotot + tuet) </t>
        </r>
      </text>
    </comment>
    <comment ref="F173" authorId="0" shapeId="0" xr:uid="{00000000-0006-0000-0F00-00006F000000}">
      <text>
        <r>
          <rPr>
            <sz val="9"/>
            <color indexed="81"/>
            <rFont val="Tahoma"/>
            <family val="2"/>
          </rPr>
          <t>Kaikki emolehmäntuotannosta aiheutuneet kustannukset yhteensä €/emolehmä/vuosi</t>
        </r>
      </text>
    </comment>
    <comment ref="U173" authorId="0" shapeId="0" xr:uid="{00000000-0006-0000-0F00-000070000000}">
      <text>
        <r>
          <rPr>
            <sz val="9"/>
            <color indexed="81"/>
            <rFont val="Tahoma"/>
            <family val="2"/>
          </rPr>
          <t>Kaikki emolehmäntuotannosta aiheutuneet kustannukset yhteensä €/emolehmä/vuosi</t>
        </r>
      </text>
    </comment>
    <comment ref="F174" authorId="0" shapeId="0" xr:uid="{00000000-0006-0000-0F00-000071000000}">
      <text>
        <r>
          <rPr>
            <sz val="9"/>
            <color indexed="81"/>
            <rFont val="Tahoma"/>
            <family val="2"/>
          </rPr>
          <t>Tässä oletetaan, että muiden tuottojen tuottamiseen on käytetty saman verran kustannuksia, kuin niistä on aiheutunut tuottoja</t>
        </r>
      </text>
    </comment>
    <comment ref="I174" authorId="0" shapeId="0" xr:uid="{00000000-0006-0000-0F00-000072000000}">
      <text>
        <r>
          <rPr>
            <sz val="9"/>
            <color indexed="81"/>
            <rFont val="Tahoma"/>
            <family val="2"/>
          </rPr>
          <t>Muiden tuottojen tuottamisesta aiheutuvien kustannusten prosenttiosuus 
(= muiden tuottojen osuus tuotoista)</t>
        </r>
      </text>
    </comment>
    <comment ref="U174" authorId="0" shapeId="0" xr:uid="{00000000-0006-0000-0F00-000073000000}">
      <text>
        <r>
          <rPr>
            <sz val="9"/>
            <color indexed="81"/>
            <rFont val="Tahoma"/>
            <family val="2"/>
          </rPr>
          <t>Tässä oletetaan, että muiden tuottojen tuottamiseen on käytetty saman verran kustannuksia, kuin niistä on aiheutunut tuottoja</t>
        </r>
      </text>
    </comment>
    <comment ref="X174" authorId="0" shapeId="0" xr:uid="{00000000-0006-0000-0F00-000074000000}">
      <text>
        <r>
          <rPr>
            <sz val="9"/>
            <color indexed="81"/>
            <rFont val="Tahoma"/>
            <family val="2"/>
          </rPr>
          <t>Muiden tuottojen tuottamisesta aiheutuvien kustannusten prosenttiosuus 
(= muiden tuottojen osuus tuotoista)</t>
        </r>
      </text>
    </comment>
    <comment ref="C184" authorId="0" shapeId="0" xr:uid="{00000000-0006-0000-0F00-000075000000}">
      <text>
        <r>
          <rPr>
            <sz val="9"/>
            <color indexed="81"/>
            <rFont val="Tahoma"/>
            <family val="2"/>
          </rPr>
          <t>Esim. eläinten eloonmyynti, €/vuosi</t>
        </r>
      </text>
    </comment>
    <comment ref="R184" authorId="0" shapeId="0" xr:uid="{00000000-0006-0000-0F00-000076000000}">
      <text>
        <r>
          <rPr>
            <sz val="9"/>
            <color indexed="81"/>
            <rFont val="Tahoma"/>
            <family val="2"/>
          </rPr>
          <t>Esim. eläinten eloonmyynti, €/vuosi</t>
        </r>
      </text>
    </comment>
    <comment ref="E190" authorId="0" shapeId="0" xr:uid="{00000000-0006-0000-0F00-000077000000}">
      <text>
        <r>
          <rPr>
            <sz val="9"/>
            <color indexed="81"/>
            <rFont val="Tahoma"/>
            <family val="2"/>
          </rPr>
          <t xml:space="preserve">Käytä rehujen hintoina </t>
        </r>
        <r>
          <rPr>
            <b/>
            <sz val="9"/>
            <color indexed="81"/>
            <rFont val="Tahoma"/>
            <family val="2"/>
          </rPr>
          <t>oletettuja markkinahintoja</t>
        </r>
        <r>
          <rPr>
            <sz val="9"/>
            <color indexed="81"/>
            <rFont val="Tahoma"/>
            <family val="2"/>
          </rPr>
          <t xml:space="preserve">
paitsi </t>
        </r>
        <r>
          <rPr>
            <b/>
            <sz val="9"/>
            <color indexed="81"/>
            <rFont val="Tahoma"/>
            <family val="2"/>
          </rPr>
          <t>säilörehun hintana käytetään säilörehun tuotantokustannusta</t>
        </r>
        <r>
          <rPr>
            <sz val="9"/>
            <color indexed="81"/>
            <rFont val="Tahoma"/>
            <family val="2"/>
          </rPr>
          <t xml:space="preserve"> miinus peltoviljelyn (säilörehuntuotannon) tuet
Voit kokeilla laskelmassa säilörehun tuotantokustannuksen sijaan markkinahintaa ja vertailla muutosta tuotantokustannushintaan.
Vertailu paljastaa rehuntuotannon kalleuden / edullisuuden.
</t>
        </r>
      </text>
    </comment>
    <comment ref="T190" authorId="0" shapeId="0" xr:uid="{00000000-0006-0000-0F00-000078000000}">
      <text>
        <r>
          <rPr>
            <sz val="9"/>
            <color indexed="81"/>
            <rFont val="Tahoma"/>
            <family val="2"/>
          </rPr>
          <t xml:space="preserve">Käytä rehujen hintoina </t>
        </r>
        <r>
          <rPr>
            <b/>
            <sz val="9"/>
            <color indexed="81"/>
            <rFont val="Tahoma"/>
            <family val="2"/>
          </rPr>
          <t>oletettuja markkinahintoja</t>
        </r>
        <r>
          <rPr>
            <sz val="9"/>
            <color indexed="81"/>
            <rFont val="Tahoma"/>
            <family val="2"/>
          </rPr>
          <t xml:space="preserve">
paitsi </t>
        </r>
        <r>
          <rPr>
            <b/>
            <sz val="9"/>
            <color indexed="81"/>
            <rFont val="Tahoma"/>
            <family val="2"/>
          </rPr>
          <t>säilörehun hintana käytetään säilörehun tuotantokustannusta</t>
        </r>
        <r>
          <rPr>
            <sz val="9"/>
            <color indexed="81"/>
            <rFont val="Tahoma"/>
            <family val="2"/>
          </rPr>
          <t xml:space="preserve"> miinus peltoviljelyn (säilörehuntuotannon) tuet
Voit kokeilla laskelmassa säilörehun tuotantokustannuksen sijaan markkinahintaa ja vertailla muutosta tuotantokustannushintaan.
Vertailu paljastaa rehuntuotannon kalleuden / edullisuuden.
</t>
        </r>
      </text>
    </comment>
    <comment ref="E191" authorId="0" shapeId="0" xr:uid="{00000000-0006-0000-0F00-000079000000}">
      <text>
        <r>
          <rPr>
            <sz val="9"/>
            <color indexed="81"/>
            <rFont val="Tahoma"/>
            <family val="2"/>
          </rPr>
          <t>Säilörehun tuotantokustannus miinus peltoviljelyn (säilörehuntuotannon) tuet</t>
        </r>
      </text>
    </comment>
    <comment ref="T191" authorId="0" shapeId="0" xr:uid="{00000000-0006-0000-0F00-00007A000000}">
      <text>
        <r>
          <rPr>
            <sz val="9"/>
            <color indexed="81"/>
            <rFont val="Tahoma"/>
            <family val="2"/>
          </rPr>
          <t>Säilörehun tuotantokustannus miinus peltoviljelyn (säilörehuntuotannon) tuet</t>
        </r>
      </text>
    </comment>
    <comment ref="I205" authorId="0" shapeId="0" xr:uid="{00000000-0006-0000-0F00-00007B000000}">
      <text>
        <r>
          <rPr>
            <sz val="9"/>
            <color indexed="81"/>
            <rFont val="Tahoma"/>
            <family val="2"/>
          </rPr>
          <t>Liikepääomaprosentti on mallilaskelmista (tuottopuntari.fi)
Liikepääomaprosentti kertoo kuinka pitkäksi aikaa pääoma (tuotantopanokset + palkkavaatimus) keskimäärin sitoutuu tuotantoon.
Esim. 50 % tarkoittaa, että pääoma sitoutuu tuotantoon keskimäärin puoleksi vuodeksi.</t>
        </r>
      </text>
    </comment>
    <comment ref="X205" authorId="0" shapeId="0" xr:uid="{00000000-0006-0000-0F00-00007C000000}">
      <text>
        <r>
          <rPr>
            <sz val="9"/>
            <color indexed="81"/>
            <rFont val="Tahoma"/>
            <family val="2"/>
          </rPr>
          <t>Liikepääomaprosentti on mallilaskelmista (tuottopuntari.fi)
Liikepääomaprosentti kertoo kuinka pitkäksi aikaa pääoma (tuotantopanokset + palkkavaatimus) keskimäärin sitoutuu tuotantoon.
Esim. 50 % tarkoittaa, että pääoma sitoutuu tuotantoon keskimäärin puoleksi vuodeksi.</t>
        </r>
      </text>
    </comment>
    <comment ref="D207" authorId="0" shapeId="0" xr:uid="{00000000-0006-0000-0F00-00007D000000}">
      <text>
        <r>
          <rPr>
            <sz val="9"/>
            <color indexed="81"/>
            <rFont val="Tahoma"/>
            <family val="2"/>
          </rPr>
          <t>Kotieläintuotannon työtunteja keskimäärin / päivä</t>
        </r>
      </text>
    </comment>
    <comment ref="S207" authorId="0" shapeId="0" xr:uid="{00000000-0006-0000-0F00-00007E000000}">
      <text>
        <r>
          <rPr>
            <sz val="9"/>
            <color indexed="81"/>
            <rFont val="Tahoma"/>
            <family val="2"/>
          </rPr>
          <t>Kotieläintuotannon työtunteja keskimäärin / päivä</t>
        </r>
      </text>
    </comment>
    <comment ref="D212" authorId="0" shapeId="0" xr:uid="{00000000-0006-0000-0F00-00007F000000}">
      <text>
        <r>
          <rPr>
            <sz val="9"/>
            <color indexed="81"/>
            <rFont val="Tahoma"/>
            <family val="2"/>
          </rPr>
          <t xml:space="preserve">Määritä </t>
        </r>
        <r>
          <rPr>
            <b/>
            <sz val="9"/>
            <color indexed="81"/>
            <rFont val="Tahoma"/>
            <family val="2"/>
          </rPr>
          <t>kotieläintuotannon</t>
        </r>
        <r>
          <rPr>
            <sz val="9"/>
            <color indexed="81"/>
            <rFont val="Tahoma"/>
            <family val="2"/>
          </rPr>
          <t xml:space="preserve"> kone- ja rakennuspääoma, jonka perusteella lasketaan kiinteät kustannukset: poisto, korko ja kunnossapito:
Laskelmassa on oletuksena, että poistojen määrä on sama kuin keskimääräiset kone- ja rakennushankinnat vuodessa. 
Kun koneiden ja rakennusten vuosipoisto on sama kuin keskimääräiset hankinnat vuodessa, niin pääoma pysyy samana! Kehittävälllä tilalla käytännössä lisääntyvät kone- ja rakennushankinnat voivat ylittää laskennalliset poistot, mutta tällä laskentatavalla uudet rakennusinvestoinnit näkyvät suoraan kiinteiden kustannusten kasvuna. 
Viisitoistavuotta vanhempia koneita ja rakennuksia ei tässä huomioida.
Kone- ja rakennuspääoman oletetaan olevan sama kuin viidentoista vuoden rakennushankintojen yhteismäärä. 
</t>
        </r>
      </text>
    </comment>
    <comment ref="S212" authorId="0" shapeId="0" xr:uid="{00000000-0006-0000-0F00-000080000000}">
      <text>
        <r>
          <rPr>
            <sz val="9"/>
            <color indexed="81"/>
            <rFont val="Tahoma"/>
            <family val="2"/>
          </rPr>
          <t xml:space="preserve">Määritä </t>
        </r>
        <r>
          <rPr>
            <b/>
            <sz val="9"/>
            <color indexed="81"/>
            <rFont val="Tahoma"/>
            <family val="2"/>
          </rPr>
          <t>kotieläintuotannon</t>
        </r>
        <r>
          <rPr>
            <sz val="9"/>
            <color indexed="81"/>
            <rFont val="Tahoma"/>
            <family val="2"/>
          </rPr>
          <t xml:space="preserve"> kone- ja rakennuspääoma, jonka perusteella lasketaan kiinteät kustannukset: poisto, korko ja kunnossapito:
Laskelmassa on oletuksena, että poistojen määrä on sama kuin keskimääräiset kone- ja rakennushankinnat vuodessa. 
Kun koneiden ja rakennusten vuosipoisto on sama kuin keskimääräiset hankinnat vuodessa, niin pääoma pysyy samana! Kehittävälllä tilalla käytännössä lisääntyvät kone- ja rakennushankinnat voivat ylittää laskennalliset poistot, mutta tällä laskentatavalla uudet rakennusinvestoinnit näkyvät suoraan kiinteiden kustannusten kasvuna. 
Viisitoistavuotta vanhempia koneita ja rakennuksia ei tässä huomioida.
Kone- ja rakennuspääoman oletetaan olevan sama kuin viidentoista vuoden rakennushankintojen yhteismäärä. 
</t>
        </r>
      </text>
    </comment>
    <comment ref="I213" authorId="0" shapeId="0" xr:uid="{00000000-0006-0000-0F00-000081000000}">
      <text>
        <r>
          <rPr>
            <sz val="9"/>
            <color indexed="81"/>
            <rFont val="Tahoma"/>
            <family val="2"/>
          </rPr>
          <t>Koneiden ja laitteiden keskimääräinen kunnossapitoprosentti hankintahinnasta
(vertailulaskelmissa 3%)</t>
        </r>
      </text>
    </comment>
    <comment ref="X213" authorId="0" shapeId="0" xr:uid="{00000000-0006-0000-0F00-000082000000}">
      <text>
        <r>
          <rPr>
            <sz val="9"/>
            <color indexed="81"/>
            <rFont val="Tahoma"/>
            <family val="2"/>
          </rPr>
          <t>Koneiden ja laitteiden keskimääräinen kunnossapitoprosentti hankintahinnasta
(vertailulaskelmissa 3%)</t>
        </r>
      </text>
    </comment>
    <comment ref="I214" authorId="0" shapeId="0" xr:uid="{00000000-0006-0000-0F00-000083000000}">
      <text>
        <r>
          <rPr>
            <sz val="9"/>
            <color indexed="81"/>
            <rFont val="Tahoma"/>
            <family val="2"/>
          </rPr>
          <t>Rakennusten keskimääräinen kunnossapitoprosentti hankintahinnasta
(vertailulaskelmissa 1%)</t>
        </r>
      </text>
    </comment>
    <comment ref="X214" authorId="0" shapeId="0" xr:uid="{00000000-0006-0000-0F00-000084000000}">
      <text>
        <r>
          <rPr>
            <sz val="9"/>
            <color indexed="81"/>
            <rFont val="Tahoma"/>
            <family val="2"/>
          </rPr>
          <t>Rakennusten keskimääräinen kunnossapitoprosentti hankintahinnasta
(vertailulaskelmissa 1%)</t>
        </r>
      </text>
    </comment>
    <comment ref="C215" authorId="0" shapeId="0" xr:uid="{00000000-0006-0000-0F00-000085000000}">
      <text>
        <r>
          <rPr>
            <sz val="9"/>
            <color indexed="81"/>
            <rFont val="Tahoma"/>
            <family val="2"/>
          </rPr>
          <t xml:space="preserve">Kirjanpidosta: Koneiden ja laitteiden sekä rakennusten huolto- ja kunnossapitomenot, €/vuosi
</t>
        </r>
        <r>
          <rPr>
            <b/>
            <sz val="9"/>
            <color indexed="81"/>
            <rFont val="Tahoma"/>
            <family val="2"/>
          </rPr>
          <t>tai</t>
        </r>
        <r>
          <rPr>
            <sz val="9"/>
            <color indexed="81"/>
            <rFont val="Tahoma"/>
            <family val="2"/>
          </rPr>
          <t xml:space="preserve"> 
Arvio: Kone - ja rakennuspääoma kertaa kp-% (Q33)</t>
        </r>
      </text>
    </comment>
    <comment ref="I215" authorId="0" shapeId="0" xr:uid="{00000000-0006-0000-0F00-000086000000}">
      <text>
        <r>
          <rPr>
            <sz val="9"/>
            <color indexed="81"/>
            <rFont val="Tahoma"/>
            <family val="2"/>
          </rPr>
          <t>Tähän on laskettu arvio koneiden ja laitteiden sekä rakennusten kunnossapitokustannuksista, €/ha
Muuta tarvittaessa kunnossapitoprosentteja (kp-%) edellisissä kohdissa</t>
        </r>
      </text>
    </comment>
    <comment ref="R215" authorId="0" shapeId="0" xr:uid="{00000000-0006-0000-0F00-000087000000}">
      <text>
        <r>
          <rPr>
            <sz val="9"/>
            <color indexed="81"/>
            <rFont val="Tahoma"/>
            <family val="2"/>
          </rPr>
          <t xml:space="preserve">Kirjanpidosta: Koneiden ja laitteiden sekä rakennusten huolto- ja kunnossapitomenot, €/vuosi
</t>
        </r>
        <r>
          <rPr>
            <b/>
            <sz val="9"/>
            <color indexed="81"/>
            <rFont val="Tahoma"/>
            <family val="2"/>
          </rPr>
          <t>tai</t>
        </r>
        <r>
          <rPr>
            <sz val="9"/>
            <color indexed="81"/>
            <rFont val="Tahoma"/>
            <family val="2"/>
          </rPr>
          <t xml:space="preserve"> 
Arvio: Kone - ja rakennuspääoma kertaa kp-% (Q33)</t>
        </r>
      </text>
    </comment>
    <comment ref="X215" authorId="0" shapeId="0" xr:uid="{00000000-0006-0000-0F00-000088000000}">
      <text>
        <r>
          <rPr>
            <sz val="9"/>
            <color indexed="81"/>
            <rFont val="Tahoma"/>
            <family val="2"/>
          </rPr>
          <t>Tähän on laskettu arvio koneiden ja laitteiden sekä rakennusten kunnossapitokustannuksista, €/ha
Muuta tarvittaessa kunnossapitoprosentteja (kp-%) edellisissä kohdissa</t>
        </r>
      </text>
    </comment>
    <comment ref="I216" authorId="0" shapeId="0" xr:uid="{00000000-0006-0000-0F00-000089000000}">
      <text>
        <r>
          <rPr>
            <sz val="9"/>
            <color indexed="81"/>
            <rFont val="Tahoma"/>
            <family val="2"/>
          </rPr>
          <t>Keskimääräinen pääoman korko (vertailulaskelmissa 5
%)</t>
        </r>
      </text>
    </comment>
    <comment ref="X216" authorId="0" shapeId="0" xr:uid="{00000000-0006-0000-0F00-00008A000000}">
      <text>
        <r>
          <rPr>
            <sz val="9"/>
            <color indexed="81"/>
            <rFont val="Tahoma"/>
            <family val="2"/>
          </rPr>
          <t>Keskimääräinen pääoman korko (vertailulaskelmissa 5
%)</t>
        </r>
      </text>
    </comment>
    <comment ref="C217" authorId="0" shapeId="0" xr:uid="{00000000-0006-0000-0F00-00008B000000}">
      <text>
        <r>
          <rPr>
            <sz val="9"/>
            <color indexed="81"/>
            <rFont val="Tahoma"/>
            <family val="2"/>
          </rPr>
          <t>Yleiskustannus on arvioitu:
Liikevaihto (tuotot + tuet) x 6%*
   *muuta prosenttia tarvittaessa kohdassa Q40
Yleiskustannus tarkoittaa kaikkia niitä tuotantoon liittyviä kustannuksia, joita ei ole laskettu edellä muuttuviin, työ tai kiinteisiin kustannuksiin.
Yleiskustannuksia ovat esimerkiksi: Myel ja Mata, sähkö, vesi, jäte, puhelin ym.</t>
        </r>
      </text>
    </comment>
    <comment ref="I217" authorId="0" shapeId="0" xr:uid="{00000000-0006-0000-0F00-00008C000000}">
      <text>
        <r>
          <rPr>
            <sz val="9"/>
            <color indexed="81"/>
            <rFont val="Tahoma"/>
            <family val="2"/>
          </rPr>
          <t xml:space="preserve">Yleiskustannusten osuus on keskimäärin 6% liikevaihdosta (tuotot + tuet) </t>
        </r>
      </text>
    </comment>
    <comment ref="R217" authorId="0" shapeId="0" xr:uid="{00000000-0006-0000-0F00-00008D000000}">
      <text>
        <r>
          <rPr>
            <sz val="9"/>
            <color indexed="81"/>
            <rFont val="Tahoma"/>
            <family val="2"/>
          </rPr>
          <t>Yleiskustannus on arvioitu:
Liikevaihto (tuotot + tuet) x 6%*
   *muuta prosenttia tarvittaessa kohdassa Q40
Yleiskustannus tarkoittaa kaikkia niitä tuotantoon liittyviä kustannuksia, joita ei ole laskettu edellä muuttuviin, työ tai kiinteisiin kustannuksiin.
Yleiskustannuksia ovat esimerkiksi: Myel ja Mata, sähkö, vesi, jäte, puhelin ym.</t>
        </r>
      </text>
    </comment>
    <comment ref="X217" authorId="0" shapeId="0" xr:uid="{00000000-0006-0000-0F00-00008E000000}">
      <text>
        <r>
          <rPr>
            <sz val="9"/>
            <color indexed="81"/>
            <rFont val="Tahoma"/>
            <family val="2"/>
          </rPr>
          <t xml:space="preserve">Yleiskustannusten osuus on keskimäärin 6% liikevaihdosta (tuotot + tuet) </t>
        </r>
      </text>
    </comment>
    <comment ref="F219" authorId="0" shapeId="0" xr:uid="{00000000-0006-0000-0F00-00008F000000}">
      <text>
        <r>
          <rPr>
            <sz val="9"/>
            <color indexed="81"/>
            <rFont val="Tahoma"/>
            <family val="2"/>
          </rPr>
          <t>Kaikki emolehmäntuotannosta aiheutuneet kustannukset yhteensä €/emolehmä/vuosi</t>
        </r>
      </text>
    </comment>
    <comment ref="U219" authorId="0" shapeId="0" xr:uid="{00000000-0006-0000-0F00-000090000000}">
      <text>
        <r>
          <rPr>
            <sz val="9"/>
            <color indexed="81"/>
            <rFont val="Tahoma"/>
            <family val="2"/>
          </rPr>
          <t>Kaikki emolehmäntuotannosta aiheutuneet kustannukset yhteensä €/emolehmä/vuosi</t>
        </r>
      </text>
    </comment>
    <comment ref="F220" authorId="0" shapeId="0" xr:uid="{00000000-0006-0000-0F00-000091000000}">
      <text>
        <r>
          <rPr>
            <sz val="9"/>
            <color indexed="81"/>
            <rFont val="Tahoma"/>
            <family val="2"/>
          </rPr>
          <t>Tässä oletetaan, että muiden tuottojen tuottamiseen on käytetty saman verran kustannuksia, kuin niistä on aiheutunut tuottoja</t>
        </r>
      </text>
    </comment>
    <comment ref="I220" authorId="0" shapeId="0" xr:uid="{00000000-0006-0000-0F00-000092000000}">
      <text>
        <r>
          <rPr>
            <sz val="9"/>
            <color indexed="81"/>
            <rFont val="Tahoma"/>
            <family val="2"/>
          </rPr>
          <t>Muiden tuottojen tuottamisesta aiheutuvien kustannusten prosenttiosuus 
(= muiden tuottojen osuus tuotoista)</t>
        </r>
      </text>
    </comment>
    <comment ref="U220" authorId="0" shapeId="0" xr:uid="{00000000-0006-0000-0F00-000093000000}">
      <text>
        <r>
          <rPr>
            <sz val="9"/>
            <color indexed="81"/>
            <rFont val="Tahoma"/>
            <family val="2"/>
          </rPr>
          <t>Tässä oletetaan, että muiden tuottojen tuottamiseen on käytetty saman verran kustannuksia, kuin niistä on aiheutunut tuottoja</t>
        </r>
      </text>
    </comment>
    <comment ref="X220" authorId="0" shapeId="0" xr:uid="{00000000-0006-0000-0F00-000094000000}">
      <text>
        <r>
          <rPr>
            <sz val="9"/>
            <color indexed="81"/>
            <rFont val="Tahoma"/>
            <family val="2"/>
          </rPr>
          <t>Muiden tuottojen tuottamisesta aiheutuvien kustannusten prosenttiosuus 
(= muiden tuottojen osuus tuotoista)</t>
        </r>
      </text>
    </comment>
    <comment ref="C230" authorId="0" shapeId="0" xr:uid="{00000000-0006-0000-0F00-000095000000}">
      <text>
        <r>
          <rPr>
            <sz val="9"/>
            <color indexed="81"/>
            <rFont val="Tahoma"/>
            <family val="2"/>
          </rPr>
          <t>Esim. eläinten eloonmyynti, €/vuosi</t>
        </r>
      </text>
    </comment>
    <comment ref="R230" authorId="0" shapeId="0" xr:uid="{00000000-0006-0000-0F00-000096000000}">
      <text>
        <r>
          <rPr>
            <sz val="9"/>
            <color indexed="81"/>
            <rFont val="Tahoma"/>
            <family val="2"/>
          </rPr>
          <t>Esim. eläinten eloonmyynti, €/vuosi</t>
        </r>
      </text>
    </comment>
    <comment ref="E236" authorId="0" shapeId="0" xr:uid="{00000000-0006-0000-0F00-000097000000}">
      <text>
        <r>
          <rPr>
            <sz val="9"/>
            <color indexed="81"/>
            <rFont val="Tahoma"/>
            <family val="2"/>
          </rPr>
          <t xml:space="preserve">Käytä rehujen hintoina </t>
        </r>
        <r>
          <rPr>
            <b/>
            <sz val="9"/>
            <color indexed="81"/>
            <rFont val="Tahoma"/>
            <family val="2"/>
          </rPr>
          <t>oletettuja markkinahintoja</t>
        </r>
        <r>
          <rPr>
            <sz val="9"/>
            <color indexed="81"/>
            <rFont val="Tahoma"/>
            <family val="2"/>
          </rPr>
          <t xml:space="preserve">
paitsi </t>
        </r>
        <r>
          <rPr>
            <b/>
            <sz val="9"/>
            <color indexed="81"/>
            <rFont val="Tahoma"/>
            <family val="2"/>
          </rPr>
          <t>säilörehun hintana käytetään säilörehun tuotantokustannusta</t>
        </r>
        <r>
          <rPr>
            <sz val="9"/>
            <color indexed="81"/>
            <rFont val="Tahoma"/>
            <family val="2"/>
          </rPr>
          <t xml:space="preserve"> miinus peltoviljelyn (säilörehuntuotannon) tuet
Voit kokeilla laskelmassa säilörehun tuotantokustannuksen sijaan markkinahintaa ja vertailla muutosta tuotantokustannushintaan.
Vertailu paljastaa rehuntuotannon kalleuden / edullisuuden.
</t>
        </r>
      </text>
    </comment>
    <comment ref="T236" authorId="0" shapeId="0" xr:uid="{00000000-0006-0000-0F00-000098000000}">
      <text>
        <r>
          <rPr>
            <sz val="9"/>
            <color indexed="81"/>
            <rFont val="Tahoma"/>
            <family val="2"/>
          </rPr>
          <t xml:space="preserve">Käytä rehujen hintoina </t>
        </r>
        <r>
          <rPr>
            <b/>
            <sz val="9"/>
            <color indexed="81"/>
            <rFont val="Tahoma"/>
            <family val="2"/>
          </rPr>
          <t>oletettuja markkinahintoja</t>
        </r>
        <r>
          <rPr>
            <sz val="9"/>
            <color indexed="81"/>
            <rFont val="Tahoma"/>
            <family val="2"/>
          </rPr>
          <t xml:space="preserve">
paitsi </t>
        </r>
        <r>
          <rPr>
            <b/>
            <sz val="9"/>
            <color indexed="81"/>
            <rFont val="Tahoma"/>
            <family val="2"/>
          </rPr>
          <t>säilörehun hintana käytetään säilörehun tuotantokustannusta</t>
        </r>
        <r>
          <rPr>
            <sz val="9"/>
            <color indexed="81"/>
            <rFont val="Tahoma"/>
            <family val="2"/>
          </rPr>
          <t xml:space="preserve"> miinus peltoviljelyn (säilörehuntuotannon) tuet
Voit kokeilla laskelmassa säilörehun tuotantokustannuksen sijaan markkinahintaa ja vertailla muutosta tuotantokustannushintaan.
Vertailu paljastaa rehuntuotannon kalleuden / edullisuuden.
</t>
        </r>
      </text>
    </comment>
    <comment ref="E237" authorId="0" shapeId="0" xr:uid="{00000000-0006-0000-0F00-000099000000}">
      <text>
        <r>
          <rPr>
            <sz val="9"/>
            <color indexed="81"/>
            <rFont val="Tahoma"/>
            <family val="2"/>
          </rPr>
          <t>Säilörehun tuotantokustannus miinus peltoviljelyn (säilörehuntuotannon) tuet</t>
        </r>
      </text>
    </comment>
    <comment ref="T237" authorId="0" shapeId="0" xr:uid="{00000000-0006-0000-0F00-00009A000000}">
      <text>
        <r>
          <rPr>
            <sz val="9"/>
            <color indexed="81"/>
            <rFont val="Tahoma"/>
            <family val="2"/>
          </rPr>
          <t>Säilörehun tuotantokustannus miinus peltoviljelyn (säilörehuntuotannon) tuet</t>
        </r>
      </text>
    </comment>
    <comment ref="I251" authorId="0" shapeId="0" xr:uid="{00000000-0006-0000-0F00-00009B000000}">
      <text>
        <r>
          <rPr>
            <sz val="9"/>
            <color indexed="81"/>
            <rFont val="Tahoma"/>
            <family val="2"/>
          </rPr>
          <t>Liikepääomaprosentti on mallilaskelmista (tuottopuntari.fi)
Liikepääomaprosentti kertoo kuinka pitkäksi aikaa pääoma (tuotantopanokset + palkkavaatimus) keskimäärin sitoutuu tuotantoon.
Esim. 50 % tarkoittaa, että pääoma sitoutuu tuotantoon keskimäärin puoleksi vuodeksi.</t>
        </r>
      </text>
    </comment>
    <comment ref="X251" authorId="0" shapeId="0" xr:uid="{00000000-0006-0000-0F00-00009C000000}">
      <text>
        <r>
          <rPr>
            <sz val="9"/>
            <color indexed="81"/>
            <rFont val="Tahoma"/>
            <family val="2"/>
          </rPr>
          <t>Liikepääomaprosentti on mallilaskelmista (tuottopuntari.fi)
Liikepääomaprosentti kertoo kuinka pitkäksi aikaa pääoma (tuotantopanokset + palkkavaatimus) keskimäärin sitoutuu tuotantoon.
Esim. 50 % tarkoittaa, että pääoma sitoutuu tuotantoon keskimäärin puoleksi vuodeksi.</t>
        </r>
      </text>
    </comment>
    <comment ref="D253" authorId="0" shapeId="0" xr:uid="{00000000-0006-0000-0F00-00009D000000}">
      <text>
        <r>
          <rPr>
            <sz val="9"/>
            <color indexed="81"/>
            <rFont val="Tahoma"/>
            <family val="2"/>
          </rPr>
          <t>Kotieläintuotannon työtunteja keskimäärin / päivä</t>
        </r>
      </text>
    </comment>
    <comment ref="S253" authorId="0" shapeId="0" xr:uid="{00000000-0006-0000-0F00-00009E000000}">
      <text>
        <r>
          <rPr>
            <sz val="9"/>
            <color indexed="81"/>
            <rFont val="Tahoma"/>
            <family val="2"/>
          </rPr>
          <t>Kotieläintuotannon työtunteja keskimäärin / päivä</t>
        </r>
      </text>
    </comment>
    <comment ref="D258" authorId="0" shapeId="0" xr:uid="{00000000-0006-0000-0F00-00009F000000}">
      <text>
        <r>
          <rPr>
            <sz val="9"/>
            <color indexed="81"/>
            <rFont val="Tahoma"/>
            <family val="2"/>
          </rPr>
          <t xml:space="preserve">Määritä </t>
        </r>
        <r>
          <rPr>
            <b/>
            <sz val="9"/>
            <color indexed="81"/>
            <rFont val="Tahoma"/>
            <family val="2"/>
          </rPr>
          <t>kotieläintuotannon</t>
        </r>
        <r>
          <rPr>
            <sz val="9"/>
            <color indexed="81"/>
            <rFont val="Tahoma"/>
            <family val="2"/>
          </rPr>
          <t xml:space="preserve"> kone- ja rakennuspääoma, jonka perusteella lasketaan kiinteät kustannukset: poisto, korko ja kunnossapito:
Laskelmassa on oletuksena, että poistojen määrä on sama kuin keskimääräiset kone- ja rakennushankinnat vuodessa. 
Kun koneiden ja rakennusten vuosipoisto on sama kuin keskimääräiset hankinnat vuodessa, niin pääoma pysyy samana! Kehittävälllä tilalla käytännössä lisääntyvät kone- ja rakennushankinnat voivat ylittää laskennalliset poistot, mutta tällä laskentatavalla uudet rakennusinvestoinnit näkyvät suoraan kiinteiden kustannusten kasvuna. 
Viisitoistavuotta vanhempia koneita ja rakennuksia ei tässä huomioida.
Kone- ja rakennuspääoman oletetaan olevan sama kuin viidentoista vuoden rakennushankintojen yhteismäärä. 
</t>
        </r>
      </text>
    </comment>
    <comment ref="S258" authorId="0" shapeId="0" xr:uid="{00000000-0006-0000-0F00-0000A0000000}">
      <text>
        <r>
          <rPr>
            <sz val="9"/>
            <color indexed="81"/>
            <rFont val="Tahoma"/>
            <family val="2"/>
          </rPr>
          <t xml:space="preserve">Määritä </t>
        </r>
        <r>
          <rPr>
            <b/>
            <sz val="9"/>
            <color indexed="81"/>
            <rFont val="Tahoma"/>
            <family val="2"/>
          </rPr>
          <t>kotieläintuotannon</t>
        </r>
        <r>
          <rPr>
            <sz val="9"/>
            <color indexed="81"/>
            <rFont val="Tahoma"/>
            <family val="2"/>
          </rPr>
          <t xml:space="preserve"> kone- ja rakennuspääoma, jonka perusteella lasketaan kiinteät kustannukset: poisto, korko ja kunnossapito:
Laskelmassa on oletuksena, että poistojen määrä on sama kuin keskimääräiset kone- ja rakennushankinnat vuodessa. 
Kun koneiden ja rakennusten vuosipoisto on sama kuin keskimääräiset hankinnat vuodessa, niin pääoma pysyy samana! Kehittävälllä tilalla käytännössä lisääntyvät kone- ja rakennushankinnat voivat ylittää laskennalliset poistot, mutta tällä laskentatavalla uudet rakennusinvestoinnit näkyvät suoraan kiinteiden kustannusten kasvuna. 
Viisitoistavuotta vanhempia koneita ja rakennuksia ei tässä huomioida.
Kone- ja rakennuspääoman oletetaan olevan sama kuin viidentoista vuoden rakennushankintojen yhteismäärä. 
</t>
        </r>
      </text>
    </comment>
    <comment ref="I259" authorId="0" shapeId="0" xr:uid="{00000000-0006-0000-0F00-0000A1000000}">
      <text>
        <r>
          <rPr>
            <sz val="9"/>
            <color indexed="81"/>
            <rFont val="Tahoma"/>
            <family val="2"/>
          </rPr>
          <t>Koneiden ja laitteiden keskimääräinen kunnossapitoprosentti hankintahinnasta
(vertailulaskelmissa 3%)</t>
        </r>
      </text>
    </comment>
    <comment ref="X259" authorId="0" shapeId="0" xr:uid="{00000000-0006-0000-0F00-0000A2000000}">
      <text>
        <r>
          <rPr>
            <sz val="9"/>
            <color indexed="81"/>
            <rFont val="Tahoma"/>
            <family val="2"/>
          </rPr>
          <t>Koneiden ja laitteiden keskimääräinen kunnossapitoprosentti hankintahinnasta
(vertailulaskelmissa 3%)</t>
        </r>
      </text>
    </comment>
    <comment ref="I260" authorId="0" shapeId="0" xr:uid="{00000000-0006-0000-0F00-0000A3000000}">
      <text>
        <r>
          <rPr>
            <sz val="9"/>
            <color indexed="81"/>
            <rFont val="Tahoma"/>
            <family val="2"/>
          </rPr>
          <t>Rakennusten keskimääräinen kunnossapitoprosentti hankintahinnasta
(vertailulaskelmissa 1%)</t>
        </r>
      </text>
    </comment>
    <comment ref="X260" authorId="0" shapeId="0" xr:uid="{00000000-0006-0000-0F00-0000A4000000}">
      <text>
        <r>
          <rPr>
            <sz val="9"/>
            <color indexed="81"/>
            <rFont val="Tahoma"/>
            <family val="2"/>
          </rPr>
          <t>Rakennusten keskimääräinen kunnossapitoprosentti hankintahinnasta
(vertailulaskelmissa 1%)</t>
        </r>
      </text>
    </comment>
    <comment ref="C261" authorId="0" shapeId="0" xr:uid="{00000000-0006-0000-0F00-0000A5000000}">
      <text>
        <r>
          <rPr>
            <sz val="9"/>
            <color indexed="81"/>
            <rFont val="Tahoma"/>
            <family val="2"/>
          </rPr>
          <t xml:space="preserve">Kirjanpidosta: Koneiden ja laitteiden sekä rakennusten huolto- ja kunnossapitomenot, €/vuosi
</t>
        </r>
        <r>
          <rPr>
            <b/>
            <sz val="9"/>
            <color indexed="81"/>
            <rFont val="Tahoma"/>
            <family val="2"/>
          </rPr>
          <t>tai</t>
        </r>
        <r>
          <rPr>
            <sz val="9"/>
            <color indexed="81"/>
            <rFont val="Tahoma"/>
            <family val="2"/>
          </rPr>
          <t xml:space="preserve"> 
Arvio: Kone - ja rakennuspääoma kertaa kp-% (Q33)</t>
        </r>
      </text>
    </comment>
    <comment ref="I261" authorId="0" shapeId="0" xr:uid="{00000000-0006-0000-0F00-0000A6000000}">
      <text>
        <r>
          <rPr>
            <sz val="9"/>
            <color indexed="81"/>
            <rFont val="Tahoma"/>
            <family val="2"/>
          </rPr>
          <t>Tähän on laskettu arvio koneiden ja laitteiden sekä rakennusten kunnossapitokustannuksista, €/ha
Muuta tarvittaessa kunnossapitoprosentteja (kp-%) edellisissä kohdissa</t>
        </r>
      </text>
    </comment>
    <comment ref="R261" authorId="0" shapeId="0" xr:uid="{00000000-0006-0000-0F00-0000A7000000}">
      <text>
        <r>
          <rPr>
            <sz val="9"/>
            <color indexed="81"/>
            <rFont val="Tahoma"/>
            <family val="2"/>
          </rPr>
          <t xml:space="preserve">Kirjanpidosta: Koneiden ja laitteiden sekä rakennusten huolto- ja kunnossapitomenot, €/vuosi
</t>
        </r>
        <r>
          <rPr>
            <b/>
            <sz val="9"/>
            <color indexed="81"/>
            <rFont val="Tahoma"/>
            <family val="2"/>
          </rPr>
          <t>tai</t>
        </r>
        <r>
          <rPr>
            <sz val="9"/>
            <color indexed="81"/>
            <rFont val="Tahoma"/>
            <family val="2"/>
          </rPr>
          <t xml:space="preserve"> 
Arvio: Kone - ja rakennuspääoma kertaa kp-% (Q33)</t>
        </r>
      </text>
    </comment>
    <comment ref="X261" authorId="0" shapeId="0" xr:uid="{00000000-0006-0000-0F00-0000A8000000}">
      <text>
        <r>
          <rPr>
            <sz val="9"/>
            <color indexed="81"/>
            <rFont val="Tahoma"/>
            <family val="2"/>
          </rPr>
          <t>Tähän on laskettu arvio koneiden ja laitteiden sekä rakennusten kunnossapitokustannuksista, €/ha
Muuta tarvittaessa kunnossapitoprosentteja (kp-%) edellisissä kohdissa</t>
        </r>
      </text>
    </comment>
    <comment ref="I262" authorId="0" shapeId="0" xr:uid="{00000000-0006-0000-0F00-0000A9000000}">
      <text>
        <r>
          <rPr>
            <sz val="9"/>
            <color indexed="81"/>
            <rFont val="Tahoma"/>
            <family val="2"/>
          </rPr>
          <t>Keskimääräinen pääoman korko (vertailulaskelmissa 5
%)</t>
        </r>
      </text>
    </comment>
    <comment ref="X262" authorId="0" shapeId="0" xr:uid="{00000000-0006-0000-0F00-0000AA000000}">
      <text>
        <r>
          <rPr>
            <sz val="9"/>
            <color indexed="81"/>
            <rFont val="Tahoma"/>
            <family val="2"/>
          </rPr>
          <t>Keskimääräinen pääoman korko (vertailulaskelmissa 5
%)</t>
        </r>
      </text>
    </comment>
    <comment ref="C263" authorId="0" shapeId="0" xr:uid="{00000000-0006-0000-0F00-0000AB000000}">
      <text>
        <r>
          <rPr>
            <sz val="9"/>
            <color indexed="81"/>
            <rFont val="Tahoma"/>
            <family val="2"/>
          </rPr>
          <t>Yleiskustannus on arvioitu:
Liikevaihto (tuotot + tuet) x 6%*
   *muuta prosenttia tarvittaessa kohdassa Q40
Yleiskustannus tarkoittaa kaikkia niitä tuotantoon liittyviä kustannuksia, joita ei ole laskettu edellä muuttuviin, työ tai kiinteisiin kustannuksiin.
Yleiskustannuksia ovat esimerkiksi: Myel ja Mata, sähkö, vesi, jäte, puhelin ym.</t>
        </r>
      </text>
    </comment>
    <comment ref="I263" authorId="0" shapeId="0" xr:uid="{00000000-0006-0000-0F00-0000AC000000}">
      <text>
        <r>
          <rPr>
            <sz val="9"/>
            <color indexed="81"/>
            <rFont val="Tahoma"/>
            <family val="2"/>
          </rPr>
          <t xml:space="preserve">Yleiskustannusten osuus on keskimäärin 6% liikevaihdosta (tuotot + tuet) </t>
        </r>
      </text>
    </comment>
    <comment ref="R263" authorId="0" shapeId="0" xr:uid="{00000000-0006-0000-0F00-0000AD000000}">
      <text>
        <r>
          <rPr>
            <sz val="9"/>
            <color indexed="81"/>
            <rFont val="Tahoma"/>
            <family val="2"/>
          </rPr>
          <t>Yleiskustannus on arvioitu:
Liikevaihto (tuotot + tuet) x 6%*
   *muuta prosenttia tarvittaessa kohdassa Q40
Yleiskustannus tarkoittaa kaikkia niitä tuotantoon liittyviä kustannuksia, joita ei ole laskettu edellä muuttuviin, työ tai kiinteisiin kustannuksiin.
Yleiskustannuksia ovat esimerkiksi: Myel ja Mata, sähkö, vesi, jäte, puhelin ym.</t>
        </r>
      </text>
    </comment>
    <comment ref="X263" authorId="0" shapeId="0" xr:uid="{00000000-0006-0000-0F00-0000AE000000}">
      <text>
        <r>
          <rPr>
            <sz val="9"/>
            <color indexed="81"/>
            <rFont val="Tahoma"/>
            <family val="2"/>
          </rPr>
          <t xml:space="preserve">Yleiskustannusten osuus on keskimäärin 6% liikevaihdosta (tuotot + tuet) </t>
        </r>
      </text>
    </comment>
    <comment ref="F265" authorId="0" shapeId="0" xr:uid="{00000000-0006-0000-0F00-0000AF000000}">
      <text>
        <r>
          <rPr>
            <sz val="9"/>
            <color indexed="81"/>
            <rFont val="Tahoma"/>
            <family val="2"/>
          </rPr>
          <t>Kaikki emolehmäntuotannosta aiheutuneet kustannukset yhteensä €/emolehmä/vuosi</t>
        </r>
      </text>
    </comment>
    <comment ref="U265" authorId="0" shapeId="0" xr:uid="{00000000-0006-0000-0F00-0000B0000000}">
      <text>
        <r>
          <rPr>
            <sz val="9"/>
            <color indexed="81"/>
            <rFont val="Tahoma"/>
            <family val="2"/>
          </rPr>
          <t>Kaikki emolehmäntuotannosta aiheutuneet kustannukset yhteensä €/emolehmä/vuosi</t>
        </r>
      </text>
    </comment>
    <comment ref="F266" authorId="0" shapeId="0" xr:uid="{00000000-0006-0000-0F00-0000B1000000}">
      <text>
        <r>
          <rPr>
            <sz val="9"/>
            <color indexed="81"/>
            <rFont val="Tahoma"/>
            <family val="2"/>
          </rPr>
          <t>Tässä oletetaan, että muiden tuottojen tuottamiseen on käytetty saman verran kustannuksia, kuin niistä on aiheutunut tuottoja</t>
        </r>
      </text>
    </comment>
    <comment ref="I266" authorId="0" shapeId="0" xr:uid="{00000000-0006-0000-0F00-0000B2000000}">
      <text>
        <r>
          <rPr>
            <sz val="9"/>
            <color indexed="81"/>
            <rFont val="Tahoma"/>
            <family val="2"/>
          </rPr>
          <t>Muiden tuottojen tuottamisesta aiheutuvien kustannusten prosenttiosuus 
(= muiden tuottojen osuus tuotoista)</t>
        </r>
      </text>
    </comment>
    <comment ref="U266" authorId="0" shapeId="0" xr:uid="{00000000-0006-0000-0F00-0000B3000000}">
      <text>
        <r>
          <rPr>
            <sz val="9"/>
            <color indexed="81"/>
            <rFont val="Tahoma"/>
            <family val="2"/>
          </rPr>
          <t>Tässä oletetaan, että muiden tuottojen tuottamiseen on käytetty saman verran kustannuksia, kuin niistä on aiheutunut tuottoja</t>
        </r>
      </text>
    </comment>
    <comment ref="X266" authorId="0" shapeId="0" xr:uid="{00000000-0006-0000-0F00-0000B4000000}">
      <text>
        <r>
          <rPr>
            <sz val="9"/>
            <color indexed="81"/>
            <rFont val="Tahoma"/>
            <family val="2"/>
          </rPr>
          <t>Muiden tuottojen tuottamisesta aiheutuvien kustannusten prosenttiosuus 
(= muiden tuottojen osuus tuotoista)</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Auvo</author>
    <author>Auvo Sairanen</author>
    <author>Annu Palmio</author>
  </authors>
  <commentList>
    <comment ref="D24" authorId="0" shapeId="0" xr:uid="{00000000-0006-0000-1000-000001000000}">
      <text>
        <r>
          <rPr>
            <b/>
            <sz val="9"/>
            <color indexed="81"/>
            <rFont val="Tahoma"/>
            <family val="2"/>
          </rPr>
          <t>Auvo:</t>
        </r>
        <r>
          <rPr>
            <sz val="9"/>
            <color indexed="81"/>
            <rFont val="Tahoma"/>
            <family val="2"/>
          </rPr>
          <t xml:space="preserve">
Vaikuttaa vasikoiden määrään</t>
        </r>
      </text>
    </comment>
    <comment ref="D76" authorId="1" shapeId="0" xr:uid="{00000000-0006-0000-1000-000002000000}">
      <text>
        <r>
          <rPr>
            <sz val="11"/>
            <color theme="1"/>
            <rFont val="Calibri"/>
            <family val="2"/>
            <scheme val="minor"/>
          </rPr>
          <t>Tämä fixattu Erkin taulukon kanssa</t>
        </r>
      </text>
    </comment>
    <comment ref="E76" authorId="2" shapeId="0" xr:uid="{00000000-0006-0000-1000-000003000000}">
      <text>
        <r>
          <rPr>
            <sz val="11"/>
            <color theme="1"/>
            <rFont val="Calibri"/>
            <family val="2"/>
            <scheme val="minor"/>
          </rPr>
          <t xml:space="preserve">ikäväli 200-300 pv ja kasvu 850 g/pv
</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Savonia</author>
  </authors>
  <commentList>
    <comment ref="N1" authorId="0" shapeId="0" xr:uid="{00000000-0006-0000-1200-000001000000}">
      <text>
        <r>
          <rPr>
            <sz val="9"/>
            <color indexed="81"/>
            <rFont val="Tahoma"/>
            <family val="2"/>
          </rPr>
          <t xml:space="preserve">Lue lisää kotieläinten energiantarpeen määrittämisestä:
</t>
        </r>
        <r>
          <rPr>
            <b/>
            <sz val="9"/>
            <color indexed="81"/>
            <rFont val="Tahoma"/>
            <family val="2"/>
          </rPr>
          <t>Luke.fi/rehutaulukot</t>
        </r>
      </text>
    </comment>
    <comment ref="D4" authorId="0" shapeId="0" xr:uid="{00000000-0006-0000-1200-000002000000}">
      <text>
        <r>
          <rPr>
            <sz val="9"/>
            <color indexed="81"/>
            <rFont val="Tahoma"/>
            <family val="2"/>
          </rPr>
          <t xml:space="preserve">Kuntoluokan muutos vaikuttaa emolehmän energiantarpeeseen.
Katso kuntoluokan muutos </t>
        </r>
        <r>
          <rPr>
            <b/>
            <sz val="9"/>
            <color indexed="81"/>
            <rFont val="Tahoma"/>
            <family val="2"/>
          </rPr>
          <t>Taulukosta 3</t>
        </r>
        <r>
          <rPr>
            <sz val="9"/>
            <color indexed="81"/>
            <rFont val="Tahoma"/>
            <family val="2"/>
          </rPr>
          <t xml:space="preserve"> ja merkitse tähän muutosprosentti.</t>
        </r>
      </text>
    </comment>
    <comment ref="I18" authorId="0" shapeId="0" xr:uid="{00000000-0006-0000-1200-000003000000}">
      <text>
        <r>
          <rPr>
            <sz val="9"/>
            <color indexed="81"/>
            <rFont val="Tahoma"/>
            <family val="2"/>
          </rPr>
          <t xml:space="preserve">Lue lisää kotieläinten energiantarpeen määrittämisestä:
</t>
        </r>
        <r>
          <rPr>
            <b/>
            <sz val="9"/>
            <color indexed="81"/>
            <rFont val="Tahoma"/>
            <family val="2"/>
          </rPr>
          <t>Luke.fi/rehutaulukot</t>
        </r>
      </text>
    </comment>
    <comment ref="H27" authorId="0" shapeId="0" xr:uid="{00000000-0006-0000-1200-000004000000}">
      <text>
        <r>
          <rPr>
            <sz val="9"/>
            <color indexed="81"/>
            <rFont val="Tahoma"/>
            <family val="2"/>
          </rPr>
          <t xml:space="preserve">Lue lisää kotieläinten energiantarpeen määrittämisestä:
</t>
        </r>
        <r>
          <rPr>
            <b/>
            <sz val="9"/>
            <color indexed="81"/>
            <rFont val="Tahoma"/>
            <family val="2"/>
          </rPr>
          <t>Luke.fi/rehutaulukot</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Savonia</author>
  </authors>
  <commentList>
    <comment ref="B4" authorId="0" shapeId="0" xr:uid="{00000000-0006-0000-1100-000001000000}">
      <text>
        <r>
          <rPr>
            <sz val="9"/>
            <color indexed="81"/>
            <rFont val="Tahoma"/>
            <family val="2"/>
          </rPr>
          <t>Valitse seuraavista (merkitse 1, 2 tai 3)
1 = Keskikokoinen: Angus (ab) ja Hereford (hf)
2 = Iso: Charolais (ch)
3 = Iso: Limousin (Li) ja Blonde d’Aquitane (Ba)</t>
        </r>
      </text>
    </comment>
    <comment ref="B13" authorId="0" shapeId="0" xr:uid="{00000000-0006-0000-1100-000002000000}">
      <text>
        <r>
          <rPr>
            <sz val="9"/>
            <color indexed="81"/>
            <rFont val="Tahoma"/>
            <family val="2"/>
          </rPr>
          <t>Valitse seuraavista (merkitse 1, 2 tai 3)
1 = Keskikokoinen: Angus (ab) ja Hereford (hf)
2 = Iso: Charolais (ch)
3 = Iso: Limousin (Li) ja Blonde d’Aquitane (Ba)</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Savonia</author>
  </authors>
  <commentList>
    <comment ref="N2" authorId="0" shapeId="0" xr:uid="{00000000-0006-0000-1300-000001000000}">
      <text>
        <r>
          <rPr>
            <sz val="9"/>
            <color indexed="81"/>
            <rFont val="Tahoma"/>
            <family val="2"/>
          </rPr>
          <t xml:space="preserve">Lue lisää kotieläinten energiantarpeen määrittämisestä:
</t>
        </r>
        <r>
          <rPr>
            <b/>
            <sz val="9"/>
            <color indexed="81"/>
            <rFont val="Tahoma"/>
            <family val="2"/>
          </rPr>
          <t>Luke.fi/rehutaulukot</t>
        </r>
      </text>
    </comment>
    <comment ref="B4" authorId="0" shapeId="0" xr:uid="{00000000-0006-0000-1300-000002000000}">
      <text>
        <r>
          <rPr>
            <sz val="9"/>
            <color indexed="81"/>
            <rFont val="Tahoma"/>
            <family val="2"/>
          </rPr>
          <t xml:space="preserve">Välitysvasikan ikäisen sonnivasikan elopaino, kg
</t>
        </r>
      </text>
    </comment>
    <comment ref="C4" authorId="0" shapeId="0" xr:uid="{00000000-0006-0000-1300-000003000000}">
      <text>
        <r>
          <rPr>
            <sz val="9"/>
            <color indexed="81"/>
            <rFont val="Tahoma"/>
            <family val="2"/>
          </rPr>
          <t>Teurassonnin elopaino, kg</t>
        </r>
      </text>
    </comment>
    <comment ref="D4" authorId="0" shapeId="0" xr:uid="{00000000-0006-0000-1300-000004000000}">
      <text>
        <r>
          <rPr>
            <sz val="9"/>
            <color indexed="81"/>
            <rFont val="Tahoma"/>
            <family val="2"/>
          </rPr>
          <t>Kasvatusaika välitysvasikkaiästä teuraaksi, kk</t>
        </r>
      </text>
    </comment>
    <comment ref="S13" authorId="0" shapeId="0" xr:uid="{00000000-0006-0000-1300-000005000000}">
      <text>
        <r>
          <rPr>
            <sz val="9"/>
            <color indexed="81"/>
            <rFont val="Tahoma"/>
            <family val="2"/>
          </rPr>
          <t xml:space="preserve">Välitysvasikan ikäisen sonnivasikan elopaino, kg
</t>
        </r>
      </text>
    </comment>
    <comment ref="I18" authorId="0" shapeId="0" xr:uid="{00000000-0006-0000-1300-000006000000}">
      <text>
        <r>
          <rPr>
            <sz val="9"/>
            <color indexed="81"/>
            <rFont val="Tahoma"/>
            <family val="2"/>
          </rPr>
          <t xml:space="preserve">Lue lisää kotieläinten energiantarpeen määrittämisestä:
</t>
        </r>
        <r>
          <rPr>
            <b/>
            <sz val="9"/>
            <color indexed="81"/>
            <rFont val="Tahoma"/>
            <family val="2"/>
          </rPr>
          <t>Luke.fi/rehutaulukot</t>
        </r>
      </text>
    </comment>
    <comment ref="P27" authorId="0" shapeId="0" xr:uid="{00000000-0006-0000-1300-000007000000}">
      <text>
        <r>
          <rPr>
            <sz val="9"/>
            <color indexed="81"/>
            <rFont val="Tahoma"/>
            <family val="2"/>
          </rPr>
          <t xml:space="preserve">Lue lisää kotieläinten energiantarpeen määrittämisestä:
</t>
        </r>
        <r>
          <rPr>
            <b/>
            <sz val="9"/>
            <color indexed="81"/>
            <rFont val="Tahoma"/>
            <family val="2"/>
          </rPr>
          <t>Luke.fi/rehutaulukot</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Savonia</author>
  </authors>
  <commentList>
    <comment ref="N2" authorId="0" shapeId="0" xr:uid="{00000000-0006-0000-1400-000001000000}">
      <text>
        <r>
          <rPr>
            <sz val="9"/>
            <color indexed="81"/>
            <rFont val="Tahoma"/>
            <family val="2"/>
          </rPr>
          <t xml:space="preserve">Lue lisää kotieläinten energiantarpeen määrittämisestä:
</t>
        </r>
        <r>
          <rPr>
            <b/>
            <sz val="9"/>
            <color indexed="81"/>
            <rFont val="Tahoma"/>
            <family val="2"/>
          </rPr>
          <t>Luke.fi/rehutaulukot</t>
        </r>
      </text>
    </comment>
    <comment ref="B4" authorId="0" shapeId="0" xr:uid="{00000000-0006-0000-1400-000002000000}">
      <text>
        <r>
          <rPr>
            <sz val="9"/>
            <color indexed="81"/>
            <rFont val="Tahoma"/>
            <family val="2"/>
          </rPr>
          <t xml:space="preserve">Välitysvasikan ikäisen lihahiehovasikan elopaino, kg
</t>
        </r>
      </text>
    </comment>
    <comment ref="C4" authorId="0" shapeId="0" xr:uid="{00000000-0006-0000-1400-000003000000}">
      <text>
        <r>
          <rPr>
            <sz val="9"/>
            <color indexed="81"/>
            <rFont val="Tahoma"/>
            <family val="2"/>
          </rPr>
          <t>Teurashiehon elopaino, kg</t>
        </r>
      </text>
    </comment>
    <comment ref="D4" authorId="0" shapeId="0" xr:uid="{00000000-0006-0000-1400-000004000000}">
      <text>
        <r>
          <rPr>
            <sz val="9"/>
            <color indexed="81"/>
            <rFont val="Tahoma"/>
            <family val="2"/>
          </rPr>
          <t>Kasvatusaika välituýsvasikkaiästä teuraaksi, kk</t>
        </r>
      </text>
    </comment>
    <comment ref="S13" authorId="0" shapeId="0" xr:uid="{00000000-0006-0000-1400-000005000000}">
      <text>
        <r>
          <rPr>
            <sz val="9"/>
            <color indexed="81"/>
            <rFont val="Tahoma"/>
            <family val="2"/>
          </rPr>
          <t xml:space="preserve">Välitysvasikan ikäisen sonnivasikan elopaino, kg
</t>
        </r>
      </text>
    </comment>
    <comment ref="U13" authorId="0" shapeId="0" xr:uid="{1F79D9BC-15CE-4B1A-A289-B62BFCF696BA}">
      <text>
        <r>
          <rPr>
            <sz val="9"/>
            <color indexed="81"/>
            <rFont val="Tahoma"/>
            <family val="2"/>
          </rPr>
          <t>Nolla-sarakkeeseen on laskettu arviona ME-keskimäärin 90 % 500 g päiväkasvusta, jotta pienille päiväkasvuille voidaan myös laskea energiantarve</t>
        </r>
      </text>
    </comment>
    <comment ref="I18" authorId="0" shapeId="0" xr:uid="{00000000-0006-0000-1400-000006000000}">
      <text>
        <r>
          <rPr>
            <sz val="9"/>
            <color indexed="81"/>
            <rFont val="Tahoma"/>
            <family val="2"/>
          </rPr>
          <t xml:space="preserve">Lue lisää kotieläinten energiantarpeen määrittämisestä:
</t>
        </r>
        <r>
          <rPr>
            <b/>
            <sz val="9"/>
            <color indexed="81"/>
            <rFont val="Tahoma"/>
            <family val="2"/>
          </rPr>
          <t>Luke.fi/rehutaulukot</t>
        </r>
      </text>
    </comment>
    <comment ref="M26" authorId="0" shapeId="0" xr:uid="{00000000-0006-0000-1400-000007000000}">
      <text>
        <r>
          <rPr>
            <sz val="9"/>
            <color indexed="81"/>
            <rFont val="Tahoma"/>
            <family val="2"/>
          </rPr>
          <t xml:space="preserve">Lue lisää kotieläinten energiantarpeen määrittämisestä:
</t>
        </r>
        <r>
          <rPr>
            <b/>
            <sz val="9"/>
            <color indexed="81"/>
            <rFont val="Tahoma"/>
            <family val="2"/>
          </rPr>
          <t>Luke.fi/rehutaulukot</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Savonia</author>
  </authors>
  <commentList>
    <comment ref="N2" authorId="0" shapeId="0" xr:uid="{00000000-0006-0000-1500-000001000000}">
      <text>
        <r>
          <rPr>
            <sz val="9"/>
            <color indexed="81"/>
            <rFont val="Tahoma"/>
            <family val="2"/>
          </rPr>
          <t xml:space="preserve">Lue lisää kotieläinten energiantarpeen määrittämisestä:
</t>
        </r>
        <r>
          <rPr>
            <b/>
            <sz val="9"/>
            <color indexed="81"/>
            <rFont val="Tahoma"/>
            <family val="2"/>
          </rPr>
          <t>Luke.fi/rehutaulukot</t>
        </r>
      </text>
    </comment>
    <comment ref="C4" authorId="0" shapeId="0" xr:uid="{00000000-0006-0000-1500-000002000000}">
      <text>
        <r>
          <rPr>
            <sz val="9"/>
            <color indexed="81"/>
            <rFont val="Tahoma"/>
            <family val="2"/>
          </rPr>
          <t>Siitossonnin elopaino, kg</t>
        </r>
      </text>
    </comment>
    <comment ref="C13" authorId="0" shapeId="0" xr:uid="{00000000-0006-0000-1500-000003000000}">
      <text>
        <r>
          <rPr>
            <sz val="9"/>
            <color indexed="81"/>
            <rFont val="Tahoma"/>
            <family val="2"/>
          </rPr>
          <t>Siitossonnin elopaino, kg</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Savonia</author>
  </authors>
  <commentList>
    <comment ref="Z6" authorId="0" shapeId="0" xr:uid="{00000000-0006-0000-0200-000001000000}">
      <text>
        <r>
          <rPr>
            <sz val="9"/>
            <color indexed="81"/>
            <rFont val="Tahoma"/>
            <family val="2"/>
          </rPr>
          <t xml:space="preserve">Vie kuviossa hiiren osoitin pylvään osan päälle, niin näet kohteen tiedot.
</t>
        </r>
        <r>
          <rPr>
            <b/>
            <sz val="9"/>
            <color indexed="81"/>
            <rFont val="Tahoma"/>
            <family val="2"/>
          </rPr>
          <t>Kannattavuus:</t>
        </r>
        <r>
          <rPr>
            <sz val="9"/>
            <color indexed="81"/>
            <rFont val="Tahoma"/>
            <family val="2"/>
          </rPr>
          <t xml:space="preserve">
Kun maatalouden kokonaistuotosta vähennetään kaikki tuotannosta aiheutuneet kustannukset, saadaan voitto, jos tulos on positiivinen. Jos tulos on negatiivinen, niin toiminnasta on aiheutunut tappiota. Tappio näkyy kuviossa punaisella.
</t>
        </r>
        <r>
          <rPr>
            <b/>
            <sz val="9"/>
            <color indexed="81"/>
            <rFont val="Tahoma"/>
            <family val="2"/>
          </rPr>
          <t>Yrittäjätulo</t>
        </r>
        <r>
          <rPr>
            <sz val="9"/>
            <color indexed="81"/>
            <rFont val="Tahoma"/>
            <family val="2"/>
          </rPr>
          <t xml:space="preserve"> tarkoittaa yrittäjän bruttoansiota (euroa/vuosi). Kun yrittäjätulosta vähennetään tuloverot ja tässä tapauksessa myös maatalouslainojen korot*, saadaan yksityistalouden käyttöön jäävä rahamäärä.
Yrittäjätulo saadaan, kun kokonaistuotosta vähennetään kaikki muut kustannukset paitsi yrittäjäperheen työkustannus ja oman pääoman korko. Laskelmassa on oletuksena, että maatalouden pääoma on kokonaan omaa pääomaa, jolle lasketaan viiden prosentin korko.
Yrittäjätulo voi olla positiivinen vaikka tulos on tappiollinen. Silloin tehdylle työlle ja tuotantoon sijoitetulle pääomalle ei kuitenkaan ole saatu haluttua korvausta.
*Jos maatalouslainojen korko on pienempi kuin 5 %, niin yrittäjätulo on käytännössä parempi kuin laskelmassa esitetty. Mikäli lainojen vuotuiset lyhennykset ovat suuremmat kuin poistojen summa, niin yrittäjätulo jää käytännössä lyhennysten ja poistojen erotuksen verran pienemmäksi kuin laskelmassa esitetty.</t>
        </r>
      </text>
    </comment>
    <comment ref="C7" authorId="0" shapeId="0" xr:uid="{00000000-0006-0000-0200-000002000000}">
      <text>
        <r>
          <rPr>
            <sz val="9"/>
            <color indexed="81"/>
            <rFont val="Tahoma"/>
            <family val="2"/>
          </rPr>
          <t>Kirjaa eläinmäärät kpl keskimäärin vuodessa
Lihanautojen määränä käytetään teuraiden määrää/vuosi</t>
        </r>
      </text>
    </comment>
    <comment ref="G7" authorId="0" shapeId="0" xr:uid="{00000000-0006-0000-0200-000003000000}">
      <text>
        <r>
          <rPr>
            <sz val="9"/>
            <color rgb="FF000000"/>
            <rFont val="Tahoma"/>
            <family val="2"/>
          </rPr>
          <t xml:space="preserve">Kirjaa kotieläintuotokset keskituotoksina siten, että yhteensä määrä vastaa todellista tuotantoa
</t>
        </r>
        <r>
          <rPr>
            <sz val="9"/>
            <color rgb="FF000000"/>
            <rFont val="Tahoma"/>
            <family val="2"/>
          </rPr>
          <t xml:space="preserve">
</t>
        </r>
        <r>
          <rPr>
            <sz val="9"/>
            <color rgb="FF000000"/>
            <rFont val="Tahoma"/>
            <family val="2"/>
          </rPr>
          <t xml:space="preserve">Tuotettu pihvivasikoiden määrä lasketaan yhtä emoa kohden tilalla tuotetuiden pihvivasikoiden määrästä (yhteensä)
</t>
        </r>
        <r>
          <rPr>
            <sz val="9"/>
            <color rgb="FF000000"/>
            <rFont val="Tahoma"/>
            <family val="2"/>
          </rPr>
          <t xml:space="preserve">
</t>
        </r>
        <r>
          <rPr>
            <b/>
            <sz val="9"/>
            <color rgb="FF000000"/>
            <rFont val="Tahoma"/>
            <family val="2"/>
          </rPr>
          <t>Teuraspaino on pakollinen tieto</t>
        </r>
        <r>
          <rPr>
            <sz val="9"/>
            <color rgb="FF000000"/>
            <rFont val="Tahoma"/>
            <family val="2"/>
          </rPr>
          <t>, jos olet merkinnyt eläinmäärät kohtaan Lihasonneja ja Lihahiehoja (C10 ja C11)</t>
        </r>
      </text>
    </comment>
    <comment ref="L7" authorId="0" shapeId="0" xr:uid="{00000000-0006-0000-0200-000004000000}">
      <text>
        <r>
          <rPr>
            <sz val="9"/>
            <color rgb="FF000000"/>
            <rFont val="Tahoma"/>
            <family val="2"/>
          </rPr>
          <t>Kirjaa kotieläinten ja kotieläintuotteiden myynnit kirjanpidosta, euroa/vuosi</t>
        </r>
      </text>
    </comment>
    <comment ref="M7" authorId="0" shapeId="0" xr:uid="{00000000-0006-0000-0200-000005000000}">
      <text>
        <r>
          <rPr>
            <sz val="9"/>
            <color rgb="FF000000"/>
            <rFont val="Tahoma"/>
            <family val="2"/>
          </rPr>
          <t xml:space="preserve">Kirjaa maitolitran keskimääräinen hinta:
</t>
        </r>
        <r>
          <rPr>
            <sz val="9"/>
            <color rgb="FF000000"/>
            <rFont val="Tahoma"/>
            <family val="2"/>
          </rPr>
          <t xml:space="preserve">Maitotili / meijeriin toimitettu maitoa
</t>
        </r>
        <r>
          <rPr>
            <sz val="9"/>
            <color rgb="FF000000"/>
            <rFont val="Tahoma"/>
            <family val="2"/>
          </rPr>
          <t xml:space="preserve">
</t>
        </r>
        <r>
          <rPr>
            <sz val="9"/>
            <color rgb="FF000000"/>
            <rFont val="Tahoma"/>
            <family val="2"/>
          </rPr>
          <t xml:space="preserve">Tarkista meijeriin toimitettu maitomäärä sivulta Energian tarve kohdasta I5 "Myynti litraa/vuosi"
</t>
        </r>
        <r>
          <rPr>
            <sz val="9"/>
            <color rgb="FF000000"/>
            <rFont val="Tahoma"/>
            <family val="2"/>
          </rPr>
          <t xml:space="preserve">
</t>
        </r>
        <r>
          <rPr>
            <sz val="9"/>
            <color rgb="FF000000"/>
            <rFont val="Tahoma"/>
            <family val="2"/>
          </rPr>
          <t>Tarkista muut yksikköhinnat ja korjaa tarvittaessa lähtötietoja</t>
        </r>
      </text>
    </comment>
    <comment ref="P7" authorId="0" shapeId="0" xr:uid="{00000000-0006-0000-0200-000006000000}">
      <text>
        <r>
          <rPr>
            <sz val="9"/>
            <color rgb="FF000000"/>
            <rFont val="Tahoma"/>
            <family val="2"/>
          </rPr>
          <t>Kirjaa</t>
        </r>
        <r>
          <rPr>
            <b/>
            <sz val="9"/>
            <color rgb="FF000000"/>
            <rFont val="Tahoma"/>
            <family val="2"/>
          </rPr>
          <t xml:space="preserve"> kotieläinten tuet </t>
        </r>
        <r>
          <rPr>
            <sz val="9"/>
            <color rgb="FF000000"/>
            <rFont val="Tahoma"/>
            <family val="2"/>
          </rPr>
          <t>kirjanpidosta, euroa/vuosi</t>
        </r>
      </text>
    </comment>
    <comment ref="Q7" authorId="0" shapeId="0" xr:uid="{00000000-0006-0000-0200-000007000000}">
      <text>
        <r>
          <rPr>
            <sz val="9"/>
            <color rgb="FF000000"/>
            <rFont val="Tahoma"/>
            <family val="2"/>
          </rPr>
          <t xml:space="preserve">Vertaa tilan yksikkötukia yleisiin yksikkötukiin
</t>
        </r>
        <r>
          <rPr>
            <sz val="9"/>
            <color rgb="FF000000"/>
            <rFont val="Tahoma"/>
            <family val="2"/>
          </rPr>
          <t xml:space="preserve">
</t>
        </r>
        <r>
          <rPr>
            <sz val="9"/>
            <color rgb="FF000000"/>
            <rFont val="Tahoma"/>
            <family val="2"/>
          </rPr>
          <t xml:space="preserve">Perustele, mikäli tilan yksikkötuet poikkeaa yleisestä
</t>
        </r>
        <r>
          <rPr>
            <sz val="9"/>
            <color rgb="FF000000"/>
            <rFont val="Tahoma"/>
            <family val="2"/>
          </rPr>
          <t xml:space="preserve">
</t>
        </r>
        <r>
          <rPr>
            <sz val="9"/>
            <color rgb="FF000000"/>
            <rFont val="Tahoma"/>
            <family val="2"/>
          </rPr>
          <t>Mikäli ero ei ole perusteltavissa, tarkista ja korjaa lähtötietoja</t>
        </r>
      </text>
    </comment>
    <comment ref="C14" authorId="0" shapeId="0" xr:uid="{00000000-0006-0000-0200-000008000000}">
      <text>
        <r>
          <rPr>
            <sz val="9"/>
            <color rgb="FF000000"/>
            <rFont val="Tahoma"/>
            <family val="2"/>
          </rPr>
          <t>Kirjaa uudistusprosentit maidon- ja emolehmätuotannossa</t>
        </r>
      </text>
    </comment>
    <comment ref="H14" authorId="0" shapeId="0" xr:uid="{00000000-0006-0000-0200-000009000000}">
      <text>
        <r>
          <rPr>
            <sz val="9"/>
            <color indexed="81"/>
            <rFont val="Tahoma"/>
            <family val="2"/>
          </rPr>
          <t xml:space="preserve">Kirjaa kasvatusaika kuukausina naudanlihantuotannossa
1) loppukasvatuksessa kasvatusaika on välitysvasikasta teuraaksi
2) yhdistelmätuotannossa (emolehmä) kasvatusaika on syntymästä teuraaksi
</t>
        </r>
        <r>
          <rPr>
            <b/>
            <sz val="9"/>
            <color indexed="81"/>
            <rFont val="Tahoma"/>
            <family val="2"/>
          </rPr>
          <t>Kasvatusaika on pakollinen tieto</t>
        </r>
        <r>
          <rPr>
            <sz val="9"/>
            <color indexed="81"/>
            <rFont val="Tahoma"/>
            <family val="2"/>
          </rPr>
          <t>, jos olet merkinnyt eläinmäärät kohtaan Lihasonneja ja Lihahiehoja (C10 ja C11)</t>
        </r>
      </text>
    </comment>
    <comment ref="Q14" authorId="0" shapeId="0" xr:uid="{00000000-0006-0000-0200-00000A000000}">
      <text>
        <r>
          <rPr>
            <sz val="9"/>
            <color rgb="FF000000"/>
            <rFont val="Tahoma"/>
            <family val="2"/>
          </rPr>
          <t xml:space="preserve">Kirjaa poistolehmien myynti kirjanpidosta, euroa/vuosi
</t>
        </r>
        <r>
          <rPr>
            <sz val="9"/>
            <color rgb="FF000000"/>
            <rFont val="Tahoma"/>
            <family val="2"/>
          </rPr>
          <t>maidon- ja emolehmätuotannossa</t>
        </r>
      </text>
    </comment>
    <comment ref="J15" authorId="0" shapeId="0" xr:uid="{00000000-0006-0000-0200-00000B000000}">
      <text>
        <r>
          <rPr>
            <sz val="9"/>
            <color rgb="FF000000"/>
            <rFont val="Tahoma"/>
            <family val="2"/>
          </rPr>
          <t xml:space="preserve">Kylmäkasvatus lisää tutkimusten mukaan naudan energiantarvetta 5-15 %
</t>
        </r>
        <r>
          <rPr>
            <sz val="9"/>
            <color rgb="FF000000"/>
            <rFont val="Tahoma"/>
            <family val="2"/>
          </rPr>
          <t xml:space="preserve">
</t>
        </r>
        <r>
          <rPr>
            <sz val="9"/>
            <color rgb="FF000000"/>
            <rFont val="Tahoma"/>
            <family val="2"/>
          </rPr>
          <t xml:space="preserve">Merkitse ruksi (x) mikäli nautoja kasvatetaan talvella pääasiassa kylmäkasvattamossa tai ulkona 
</t>
        </r>
        <r>
          <rPr>
            <sz val="9"/>
            <color rgb="FF000000"/>
            <rFont val="Tahoma"/>
            <family val="2"/>
          </rPr>
          <t>-&gt; laskelmassa on oletuksena 10 % energiantarpeen lisäys, jos on tehty valinta: kylmäkasvatus</t>
        </r>
      </text>
    </comment>
    <comment ref="B16" authorId="0" shapeId="0" xr:uid="{00000000-0006-0000-0200-00000C000000}">
      <text>
        <r>
          <rPr>
            <sz val="9"/>
            <color rgb="FF000000"/>
            <rFont val="Tahoma"/>
            <family val="2"/>
          </rPr>
          <t>Korota uudistusprosenttia, jos uudistushiehoja kasvatetaan jalostuseläimiksi myyntiin</t>
        </r>
      </text>
    </comment>
    <comment ref="J16" authorId="0" shapeId="0" xr:uid="{00000000-0006-0000-0200-00000D000000}">
      <text>
        <r>
          <rPr>
            <sz val="9"/>
            <color rgb="FF000000"/>
            <rFont val="Tahoma"/>
            <family val="2"/>
          </rPr>
          <t xml:space="preserve">Vapaaruokinta lisää naudan rehunkäyttöä 10-30 %
</t>
        </r>
        <r>
          <rPr>
            <sz val="9"/>
            <color rgb="FF000000"/>
            <rFont val="Tahoma"/>
            <family val="2"/>
          </rPr>
          <t xml:space="preserve">
</t>
        </r>
        <r>
          <rPr>
            <sz val="9"/>
            <color rgb="FF000000"/>
            <rFont val="Tahoma"/>
            <family val="2"/>
          </rPr>
          <t xml:space="preserve">Merkitse ruksi (x) mikäli naudoilla on jatkuvasti rehua vapaasti saatavilla 
</t>
        </r>
        <r>
          <rPr>
            <sz val="9"/>
            <color rgb="FF000000"/>
            <rFont val="Tahoma"/>
            <family val="2"/>
          </rPr>
          <t xml:space="preserve">-&gt; laskelmassa on oletuksena 10 % rehun käytön lisäys, jos on tehty valinta: Vapaaruokinta
</t>
        </r>
        <r>
          <rPr>
            <sz val="9"/>
            <color rgb="FF000000"/>
            <rFont val="Tahoma"/>
            <family val="2"/>
          </rPr>
          <t xml:space="preserve">
</t>
        </r>
        <r>
          <rPr>
            <sz val="9"/>
            <color rgb="FF000000"/>
            <rFont val="Tahoma"/>
            <family val="2"/>
          </rPr>
          <t>Tarvittaessa voit suurentaa vapaaruokinnan osuutta Energiantarve-sivulla (20 tai 30 %)</t>
        </r>
      </text>
    </comment>
    <comment ref="C18" authorId="0" shapeId="0" xr:uid="{00000000-0006-0000-0200-00000E000000}">
      <text>
        <r>
          <rPr>
            <sz val="9"/>
            <color rgb="FF000000"/>
            <rFont val="Tahoma"/>
            <family val="2"/>
          </rPr>
          <t>Kirjaa kotieläintuotannon ostopanokset kirjanpidosta, euroa/vuosi</t>
        </r>
      </text>
    </comment>
    <comment ref="G18" authorId="0" shapeId="0" xr:uid="{00000000-0006-0000-0200-00000F000000}">
      <text>
        <r>
          <rPr>
            <sz val="9"/>
            <color rgb="FF000000"/>
            <rFont val="Tahoma"/>
            <family val="2"/>
          </rPr>
          <t xml:space="preserve">Kirjaa kotieläintyömäärät </t>
        </r>
        <r>
          <rPr>
            <b/>
            <sz val="9"/>
            <color rgb="FF000000"/>
            <rFont val="Tahoma"/>
            <family val="2"/>
          </rPr>
          <t>yhteensä</t>
        </r>
        <r>
          <rPr>
            <sz val="9"/>
            <color rgb="FF000000"/>
            <rFont val="Tahoma"/>
            <family val="2"/>
          </rPr>
          <t xml:space="preserve"> työtunteja keskimäärin päivässä tuotannonhaaroittain
</t>
        </r>
        <r>
          <rPr>
            <sz val="9"/>
            <color rgb="FF000000"/>
            <rFont val="Tahoma"/>
            <family val="2"/>
          </rPr>
          <t xml:space="preserve">
</t>
        </r>
        <r>
          <rPr>
            <sz val="9"/>
            <color rgb="FF000000"/>
            <rFont val="Tahoma"/>
            <family val="2"/>
          </rPr>
          <t xml:space="preserve">Tähän lasketaan kokonaistyöaika: Jos 2 henkilöä tekee molemmat viiden tunnin työpäivän, niin yhteensä työtä tehdään 10 h/vrk
</t>
        </r>
        <r>
          <rPr>
            <sz val="9"/>
            <color rgb="FF000000"/>
            <rFont val="Tahoma"/>
            <family val="2"/>
          </rPr>
          <t xml:space="preserve">
</t>
        </r>
        <r>
          <rPr>
            <sz val="9"/>
            <color rgb="FF000000"/>
            <rFont val="Tahoma"/>
            <family val="2"/>
          </rPr>
          <t xml:space="preserve">Laske mukaan päivittäisten rutiinien lisäksi esimerkiksi viikoittain toistuvat työt keskimäärin h/vrk
</t>
        </r>
        <r>
          <rPr>
            <sz val="9"/>
            <color rgb="FF000000"/>
            <rFont val="Tahoma"/>
            <family val="2"/>
          </rPr>
          <t xml:space="preserve">
</t>
        </r>
        <r>
          <rPr>
            <sz val="9"/>
            <color rgb="FF000000"/>
            <rFont val="Tahoma"/>
            <family val="2"/>
          </rPr>
          <t xml:space="preserve">Työaika sisältää myös vieraan työvoiman osuuden!
</t>
        </r>
        <r>
          <rPr>
            <sz val="9"/>
            <color rgb="FF000000"/>
            <rFont val="Tahoma"/>
            <family val="2"/>
          </rPr>
          <t xml:space="preserve">
</t>
        </r>
        <r>
          <rPr>
            <sz val="9"/>
            <color rgb="FF000000"/>
            <rFont val="Tahoma"/>
            <family val="2"/>
          </rPr>
          <t>Kotieläintyökustannus lasketaan tässä esitellyn työmäärän perusteella kerrottuna työtunnin hinnalla (katso sivulta Säilörehun tuotantokustannus)</t>
        </r>
      </text>
    </comment>
    <comment ref="M18" authorId="0" shapeId="0" xr:uid="{00000000-0006-0000-0200-000010000000}">
      <text>
        <r>
          <rPr>
            <sz val="9"/>
            <color rgb="FF000000"/>
            <rFont val="Tahoma"/>
            <family val="2"/>
          </rPr>
          <t xml:space="preserve">Laskentajakson (esim. 15 vuotta) kotieläintuotannon  investoinnit yhteensä
</t>
        </r>
        <r>
          <rPr>
            <sz val="9"/>
            <color rgb="FF000000"/>
            <rFont val="Tahoma"/>
            <family val="2"/>
          </rPr>
          <t xml:space="preserve">
</t>
        </r>
        <r>
          <rPr>
            <sz val="9"/>
            <color rgb="FF000000"/>
            <rFont val="Tahoma"/>
            <family val="2"/>
          </rPr>
          <t>Jos tilalla on tehty sukupolvenvaihdos laskentajakson aikana, niin käytä osuutta tilakauppahinnasta</t>
        </r>
      </text>
    </comment>
    <comment ref="Q18" authorId="0" shapeId="0" xr:uid="{00000000-0006-0000-0200-000011000000}">
      <text>
        <r>
          <rPr>
            <sz val="9"/>
            <color indexed="81"/>
            <rFont val="Tahoma"/>
            <family val="2"/>
          </rPr>
          <t>Kustannukset jaetaan tuotantoon käytetyn energiamäärän suhteessa (MJ)
Siitossonnin osuus on lisätty Emolehmän osuuteen
Jos siitossonnia käytetään maidontuotannossa, niin korjaa kustannusten jako taulukkoon</t>
        </r>
      </text>
    </comment>
    <comment ref="K19" authorId="0" shapeId="0" xr:uid="{00000000-0006-0000-0200-000012000000}">
      <text>
        <r>
          <rPr>
            <sz val="9"/>
            <color rgb="FF000000"/>
            <rFont val="Tahoma"/>
            <family val="2"/>
          </rPr>
          <t xml:space="preserve">Määritä kotieläintuotannon kone- ja rakennuspääoma tehtyjen investointien yhteismääränä, jonka perusteella lasketaan kiinteät kustannukset: Poisto, korko ja kunnossapito.
</t>
        </r>
        <r>
          <rPr>
            <sz val="9"/>
            <color rgb="FF000000"/>
            <rFont val="Tahoma"/>
            <family val="2"/>
          </rPr>
          <t xml:space="preserve">
</t>
        </r>
        <r>
          <rPr>
            <sz val="9"/>
            <color rgb="FF000000"/>
            <rFont val="Tahoma"/>
            <family val="2"/>
          </rPr>
          <t xml:space="preserve">Laskelmassa on oletuksena, että poistojen määrä on sama kuin keskimääräiset kone- ja rakennushankinnat vuodessa. 
</t>
        </r>
        <r>
          <rPr>
            <sz val="9"/>
            <color rgb="FF000000"/>
            <rFont val="Tahoma"/>
            <family val="2"/>
          </rPr>
          <t xml:space="preserve">
</t>
        </r>
        <r>
          <rPr>
            <sz val="9"/>
            <color rgb="FF000000"/>
            <rFont val="Tahoma"/>
            <family val="2"/>
          </rPr>
          <t xml:space="preserve">Kun koneiden ja rakennusten vuosipoisto on sama kuin keskimääräiset hankinnat vuodessa, niin pääoma pysyy samana! Kehittävällä tilalla käytännössä lisääntyvät kone- ja rakennushankinnat voivat ylittää laskennalliset poistot, mutta tällä laskentatavalla uudet rakennusinvestoinnit näkyvät suoraan kiinteiden kustannusten kasvuna. 
</t>
        </r>
        <r>
          <rPr>
            <sz val="9"/>
            <color rgb="FF000000"/>
            <rFont val="Tahoma"/>
            <family val="2"/>
          </rPr>
          <t xml:space="preserve">
</t>
        </r>
        <r>
          <rPr>
            <sz val="9"/>
            <color rgb="FF000000"/>
            <rFont val="Tahoma"/>
            <family val="2"/>
          </rPr>
          <t xml:space="preserve">Määritä käyttöaika koneille ja rakennuksille siten, että laskelmassa huomioidaan aikaisemmin tehdyt investoinnit.
</t>
        </r>
        <r>
          <rPr>
            <sz val="9"/>
            <color rgb="FF000000"/>
            <rFont val="Tahoma"/>
            <family val="2"/>
          </rPr>
          <t xml:space="preserve">
</t>
        </r>
        <r>
          <rPr>
            <sz val="9"/>
            <color rgb="FF000000"/>
            <rFont val="Tahoma"/>
            <family val="2"/>
          </rPr>
          <t xml:space="preserve">Esim. navetta on rakennettu 20 vuotta sitten ja investointia varten otetusta lainasta on edelleen osa maksamatta: Määritä navetan käyttöajaksi 20 vuotta ja laske rakennusinvestoinnit yhteensä 20 vuodelta mukaan lukien navetta.
</t>
        </r>
        <r>
          <rPr>
            <sz val="9"/>
            <color rgb="FF000000"/>
            <rFont val="Tahoma"/>
            <family val="2"/>
          </rPr>
          <t xml:space="preserve">
</t>
        </r>
        <r>
          <rPr>
            <sz val="9"/>
            <color rgb="FF000000"/>
            <rFont val="Tahoma"/>
            <family val="2"/>
          </rPr>
          <t xml:space="preserve">Mikäli aikaisemmin tehdyistä investoinneista ei ole enää maksamattomia lainoja, niin käytä käyttöaikoina rakennuksille 15 vuotta ja koneille ja kalustolle 10 vuotta.
</t>
        </r>
        <r>
          <rPr>
            <sz val="9"/>
            <color rgb="FF000000"/>
            <rFont val="Tahoma"/>
            <family val="2"/>
          </rPr>
          <t xml:space="preserve">
</t>
        </r>
        <r>
          <rPr>
            <sz val="9"/>
            <color rgb="FF000000"/>
            <rFont val="Tahoma"/>
            <family val="2"/>
          </rPr>
          <t xml:space="preserve">Kone- ja rakennuspääoman oletetaan olevan sama kuin käyttöajan kone- ja rakennushankintojen yhteismäärä.
</t>
        </r>
      </text>
    </comment>
    <comment ref="K20" authorId="0" shapeId="0" xr:uid="{74EAF771-27BC-479D-B6B8-78366AD40EB0}">
      <text>
        <r>
          <rPr>
            <sz val="9"/>
            <color rgb="FF000000"/>
            <rFont val="Tahoma"/>
            <family val="2"/>
          </rPr>
          <t xml:space="preserve">Määritä kotieläintuotannon kone- ja rakennuspääoma tehtyjen investointien yhteismääränä, jonka perusteella lasketaan kiinteät kustannukset: Poisto, korko ja kunnossapito.
</t>
        </r>
        <r>
          <rPr>
            <sz val="9"/>
            <color rgb="FF000000"/>
            <rFont val="Tahoma"/>
            <family val="2"/>
          </rPr>
          <t xml:space="preserve">
</t>
        </r>
        <r>
          <rPr>
            <sz val="9"/>
            <color rgb="FF000000"/>
            <rFont val="Tahoma"/>
            <family val="2"/>
          </rPr>
          <t xml:space="preserve">Laskelmassa on oletuksena, että poistojen määrä on sama kuin keskimääräiset kone- ja rakennushankinnat vuodessa. 
</t>
        </r>
        <r>
          <rPr>
            <sz val="9"/>
            <color rgb="FF000000"/>
            <rFont val="Tahoma"/>
            <family val="2"/>
          </rPr>
          <t xml:space="preserve">
</t>
        </r>
        <r>
          <rPr>
            <sz val="9"/>
            <color rgb="FF000000"/>
            <rFont val="Tahoma"/>
            <family val="2"/>
          </rPr>
          <t xml:space="preserve">Kun koneiden ja rakennusten vuosipoisto on sama kuin keskimääräiset hankinnat vuodessa, niin pääoma pysyy samana! Kehittävällä tilalla käytännössä lisääntyvät kone- ja rakennushankinnat voivat ylittää laskennalliset poistot, mutta tällä laskentatavalla uudet rakennusinvestoinnit näkyvät suoraan kiinteiden kustannusten kasvuna. 
</t>
        </r>
        <r>
          <rPr>
            <sz val="9"/>
            <color rgb="FF000000"/>
            <rFont val="Tahoma"/>
            <family val="2"/>
          </rPr>
          <t xml:space="preserve">
</t>
        </r>
        <r>
          <rPr>
            <sz val="9"/>
            <color rgb="FF000000"/>
            <rFont val="Tahoma"/>
            <family val="2"/>
          </rPr>
          <t xml:space="preserve">Määritä käyttöaika koneille ja rakennuksille siten, että laskelmassa huomioidaan aikaisemmin tehdyt investoinnit.
</t>
        </r>
        <r>
          <rPr>
            <sz val="9"/>
            <color rgb="FF000000"/>
            <rFont val="Tahoma"/>
            <family val="2"/>
          </rPr>
          <t xml:space="preserve">
</t>
        </r>
        <r>
          <rPr>
            <sz val="9"/>
            <color rgb="FF000000"/>
            <rFont val="Tahoma"/>
            <family val="2"/>
          </rPr>
          <t xml:space="preserve">Esim. navetta on rakennettu 20 vuotta sitten ja investointia varten otetusta lainasta on edelleen osa maksamatta: Määritä navetan käyttöajaksi 20 vuotta ja laske rakennusinvestoinnit yhteensä 20 vuodelta mukaan lukien navetta.
</t>
        </r>
        <r>
          <rPr>
            <sz val="9"/>
            <color rgb="FF000000"/>
            <rFont val="Tahoma"/>
            <family val="2"/>
          </rPr>
          <t xml:space="preserve">
</t>
        </r>
        <r>
          <rPr>
            <sz val="9"/>
            <color rgb="FF000000"/>
            <rFont val="Tahoma"/>
            <family val="2"/>
          </rPr>
          <t xml:space="preserve">Mikäli aikaisemmin tehdyistä investoinneista ei ole enää maksamattomia lainoja, niin käytä käyttöaikoina rakennuksille 15 vuotta ja koneille ja kalustolle 10 vuotta.
</t>
        </r>
        <r>
          <rPr>
            <sz val="9"/>
            <color rgb="FF000000"/>
            <rFont val="Tahoma"/>
            <family val="2"/>
          </rPr>
          <t xml:space="preserve">
</t>
        </r>
        <r>
          <rPr>
            <sz val="9"/>
            <color rgb="FF000000"/>
            <rFont val="Tahoma"/>
            <family val="2"/>
          </rPr>
          <t xml:space="preserve">Kone- ja rakennuspääoman oletetaan olevan sama kuin käyttöajan kone- ja rakennushankintojen yhteismäärä.
</t>
        </r>
      </text>
    </comment>
    <comment ref="B22" authorId="0" shapeId="0" xr:uid="{00000000-0006-0000-0200-000014000000}">
      <text>
        <r>
          <rPr>
            <sz val="9"/>
            <color rgb="FF000000"/>
            <rFont val="Tahoma"/>
            <family val="2"/>
          </rPr>
          <t xml:space="preserve">Siitossonni huomioidaan vain ostoeläiminä kohdassa </t>
        </r>
        <r>
          <rPr>
            <b/>
            <sz val="9"/>
            <color rgb="FF000000"/>
            <rFont val="Tahoma"/>
            <family val="2"/>
          </rPr>
          <t>Eläinten ostot</t>
        </r>
      </text>
    </comment>
    <comment ref="B23" authorId="0" shapeId="0" xr:uid="{00000000-0006-0000-0200-000015000000}">
      <text>
        <r>
          <rPr>
            <sz val="9"/>
            <color rgb="FF000000"/>
            <rFont val="Tahoma"/>
            <family val="2"/>
          </rPr>
          <t xml:space="preserve">Kuivituksen kulut sisällytetään muihin menoihin kuten esim. traktorin polttoaineet.
</t>
        </r>
        <r>
          <rPr>
            <sz val="9"/>
            <color rgb="FF000000"/>
            <rFont val="Tahoma"/>
            <family val="2"/>
          </rPr>
          <t xml:space="preserve">
</t>
        </r>
        <r>
          <rPr>
            <sz val="9"/>
            <color rgb="FF000000"/>
            <rFont val="Tahoma"/>
            <family val="2"/>
          </rPr>
          <t xml:space="preserve">Mikäli olki korjataan itse muilta kuin omassa viljelyssä olevilta pelloilta, lisätään tarvittaessa tähän vain oljen korjuusta, muovituksesta ja kuljetuksesta koituvat kustannukset. </t>
        </r>
      </text>
    </comment>
    <comment ref="M23" authorId="0" shapeId="0" xr:uid="{00000000-0006-0000-0200-000016000000}">
      <text>
        <r>
          <rPr>
            <sz val="9"/>
            <color rgb="FF000000"/>
            <rFont val="Tahoma"/>
            <family val="2"/>
          </rPr>
          <t>Kirjaa huolto- ja kunnossapitomenot kirjanpidosta, euroa/vuosi (kotieläintuotannon rakennukset, koneet ja laitteet)</t>
        </r>
      </text>
    </comment>
    <comment ref="B24" authorId="0" shapeId="0" xr:uid="{00000000-0006-0000-0200-000017000000}">
      <text>
        <r>
          <rPr>
            <sz val="9"/>
            <color rgb="FF000000"/>
            <rFont val="Tahoma"/>
            <family val="2"/>
          </rPr>
          <t xml:space="preserve">Kirjaa tähän kirjanpidosta </t>
        </r>
        <r>
          <rPr>
            <b/>
            <sz val="9"/>
            <color rgb="FF000000"/>
            <rFont val="Tahoma"/>
            <family val="2"/>
          </rPr>
          <t>muut pelkästään kotieläintuotantoon kohdistuvat kulut</t>
        </r>
        <r>
          <rPr>
            <sz val="9"/>
            <color rgb="FF000000"/>
            <rFont val="Tahoma"/>
            <family val="2"/>
          </rPr>
          <t xml:space="preserve">, joita ei ole mainittu edellä:
</t>
        </r>
        <r>
          <rPr>
            <sz val="9"/>
            <color rgb="FF000000"/>
            <rFont val="Tahoma"/>
            <family val="2"/>
          </rPr>
          <t xml:space="preserve">- esim. eläintuotannon asiantuntijapalveluiden käyttö
</t>
        </r>
        <r>
          <rPr>
            <sz val="9"/>
            <color rgb="FF000000"/>
            <rFont val="Tahoma"/>
            <family val="2"/>
          </rPr>
          <t xml:space="preserve">
</t>
        </r>
        <r>
          <rPr>
            <sz val="9"/>
            <color rgb="FF000000"/>
            <rFont val="Tahoma"/>
            <family val="2"/>
          </rPr>
          <t xml:space="preserve">Tähän ei kirjata yleiskustannuksia:
</t>
        </r>
        <r>
          <rPr>
            <sz val="9"/>
            <color rgb="FF000000"/>
            <rFont val="Tahoma"/>
            <family val="2"/>
          </rPr>
          <t xml:space="preserve">- Laitevuokrat
</t>
        </r>
        <r>
          <rPr>
            <sz val="9"/>
            <color rgb="FF000000"/>
            <rFont val="Tahoma"/>
            <family val="2"/>
          </rPr>
          <t xml:space="preserve">- Vakuutukset
</t>
        </r>
        <r>
          <rPr>
            <sz val="9"/>
            <color rgb="FF000000"/>
            <rFont val="Tahoma"/>
            <family val="2"/>
          </rPr>
          <t xml:space="preserve">- Myel ja Mata
</t>
        </r>
        <r>
          <rPr>
            <sz val="9"/>
            <color rgb="FF000000"/>
            <rFont val="Tahoma"/>
            <family val="2"/>
          </rPr>
          <t xml:space="preserve">- Energia; sähkö ja lämmitys
</t>
        </r>
        <r>
          <rPr>
            <sz val="9"/>
            <color rgb="FF000000"/>
            <rFont val="Tahoma"/>
            <family val="2"/>
          </rPr>
          <t xml:space="preserve">- Kirjanpito
</t>
        </r>
        <r>
          <rPr>
            <sz val="9"/>
            <color rgb="FF000000"/>
            <rFont val="Tahoma"/>
            <family val="2"/>
          </rPr>
          <t>ym.</t>
        </r>
      </text>
    </comment>
    <comment ref="Z31" authorId="0" shapeId="0" xr:uid="{00000000-0006-0000-0200-000018000000}">
      <text>
        <r>
          <rPr>
            <sz val="9"/>
            <color indexed="81"/>
            <rFont val="Tahoma"/>
            <family val="2"/>
          </rPr>
          <t xml:space="preserve">Säilörehun tuotantokustannus on esitetty kuviossa laskelmaan kirjaamiesi lähtötietojen perusteella:
</t>
        </r>
        <r>
          <rPr>
            <b/>
            <sz val="9"/>
            <color indexed="81"/>
            <rFont val="Tahoma"/>
            <family val="2"/>
          </rPr>
          <t>1) Tuotantokustannus</t>
        </r>
        <r>
          <rPr>
            <sz val="9"/>
            <color indexed="81"/>
            <rFont val="Tahoma"/>
            <family val="2"/>
          </rPr>
          <t xml:space="preserve"> (vas)
   - Sisältää kaikki säilörehun tuotannosta aiheutuneet kustannukset
   - aito tuotantokustannus on vertailukelpoinen muiden tilojen tuloksiin
   - kun säilörehun tuotantokustannusta verrataan tuottoihin (sadon tuotto + tuet),
     voidaan laskea säilörehun tuotannon kannattavuus
</t>
        </r>
        <r>
          <rPr>
            <b/>
            <sz val="9"/>
            <color indexed="81"/>
            <rFont val="Tahoma"/>
            <family val="2"/>
          </rPr>
          <t>2) Tuotantokustannus - tuet</t>
        </r>
        <r>
          <rPr>
            <sz val="9"/>
            <color indexed="81"/>
            <rFont val="Tahoma"/>
            <family val="2"/>
          </rPr>
          <t xml:space="preserve"> (oik)
   - tämä on säilörehun kustannusvaikutus kotieläintuotannossa*
   - tästä käytetään usein myös virheellisesti termiä "tuettu tuotantokustannus"
   - ei ole vertailukelpoinen muiden tilojen tuloksiin*
   - ei kerro säilörehuntuotannon kannattavuutta
*Laajaperäisessä viljelyssä kuten esimerkiksi luomutuotannossa, säilörehun tuotantokustannus miinus tuet voi olla negatiivinen, koska tuet ovat suuremmat kuin kustannukset. Käytännössä tämä tarkoittaa sitä, että peltoviljelyn tuet pienentävät kotieläintuotannon kustannusvaikutusta.
</t>
        </r>
        <r>
          <rPr>
            <i/>
            <sz val="9"/>
            <color indexed="81"/>
            <rFont val="Tahoma"/>
            <family val="2"/>
          </rPr>
          <t xml:space="preserve">Säilörehun tuotantokustannus </t>
        </r>
        <r>
          <rPr>
            <sz val="9"/>
            <color indexed="81"/>
            <rFont val="Tahoma"/>
            <family val="2"/>
          </rPr>
          <t xml:space="preserve">on eriteltynä saman nimisellä sivulla.
Katso muiden kotoisten rehujen tuotantokustannuslaskelma ja kustannusvaikutus kotieläintuotannossa sivulla </t>
        </r>
        <r>
          <rPr>
            <i/>
            <sz val="9"/>
            <color indexed="81"/>
            <rFont val="Tahoma"/>
            <family val="2"/>
          </rPr>
          <t>Rehujen tuotantokustannukset</t>
        </r>
        <r>
          <rPr>
            <sz val="9"/>
            <color indexed="81"/>
            <rFont val="Tahoma"/>
            <family val="2"/>
          </rPr>
          <t xml:space="preserve">.
</t>
        </r>
      </text>
    </comment>
    <comment ref="C32" authorId="0" shapeId="0" xr:uid="{00000000-0006-0000-0200-000019000000}">
      <text>
        <r>
          <rPr>
            <sz val="9"/>
            <color rgb="FF000000"/>
            <rFont val="Tahoma"/>
            <family val="2"/>
          </rPr>
          <t xml:space="preserve">Kirjaa rehuntuotantoalat eriteltyinä (Säilörehu jne.) ja muu viljelyala (Muu peltoala)
</t>
        </r>
        <r>
          <rPr>
            <sz val="9"/>
            <color rgb="FF000000"/>
            <rFont val="Tahoma"/>
            <family val="2"/>
          </rPr>
          <t xml:space="preserve">
</t>
        </r>
        <r>
          <rPr>
            <sz val="9"/>
            <color rgb="FF000000"/>
            <rFont val="Tahoma"/>
            <family val="2"/>
          </rPr>
          <t>Esimerkiksi säilörehuala sisältää koko säilörehun viljelyalan mukaan lukien sopimuspellot</t>
        </r>
      </text>
    </comment>
    <comment ref="G32" authorId="0" shapeId="0" xr:uid="{00000000-0006-0000-0200-00001A000000}">
      <text>
        <r>
          <rPr>
            <sz val="9"/>
            <color rgb="FF000000"/>
            <rFont val="Tahoma"/>
            <family val="2"/>
          </rPr>
          <t xml:space="preserve">Erittele </t>
        </r>
        <r>
          <rPr>
            <b/>
            <sz val="9"/>
            <color rgb="FF000000"/>
            <rFont val="Tahoma"/>
            <family val="2"/>
          </rPr>
          <t>Rehuntuotanto</t>
        </r>
        <r>
          <rPr>
            <sz val="9"/>
            <color rgb="FF000000"/>
            <rFont val="Tahoma"/>
            <family val="2"/>
          </rPr>
          <t xml:space="preserve"> saman nimisellä sivulla ja määritä sadot ym.</t>
        </r>
      </text>
    </comment>
    <comment ref="K32" authorId="0" shapeId="0" xr:uid="{00000000-0006-0000-0200-00001B000000}">
      <text>
        <r>
          <rPr>
            <sz val="9"/>
            <color rgb="FF000000"/>
            <rFont val="Tahoma"/>
            <family val="2"/>
          </rPr>
          <t xml:space="preserve">Määritä hehtaarikohtaiset tuet siten, että tukien yhteissumma vastaa kirjanpitoa
</t>
        </r>
        <r>
          <rPr>
            <sz val="9"/>
            <color rgb="FF000000"/>
            <rFont val="Tahoma"/>
            <family val="2"/>
          </rPr>
          <t xml:space="preserve">
</t>
        </r>
        <r>
          <rPr>
            <sz val="9"/>
            <color rgb="FF000000"/>
            <rFont val="Tahoma"/>
            <family val="2"/>
          </rPr>
          <t>Esimerkiksi säilörehun sopimustuotantoala pienentää säilörehun hehtaarikohtaista tukea, koska tuet jaetaan koko säilörehun tuotantoalalle</t>
        </r>
      </text>
    </comment>
    <comment ref="P32" authorId="0" shapeId="0" xr:uid="{00000000-0006-0000-0200-00001C000000}">
      <text>
        <r>
          <rPr>
            <b/>
            <sz val="9"/>
            <color indexed="81"/>
            <rFont val="Tahoma"/>
            <family val="2"/>
          </rPr>
          <t>Rehun kuiva-aine, g/kg</t>
        </r>
        <r>
          <rPr>
            <sz val="9"/>
            <color indexed="81"/>
            <rFont val="Tahoma"/>
            <family val="2"/>
          </rPr>
          <t xml:space="preserve"> (keskimäärin)
Täydennä rehuarvot sivulla Rehuntuotanto</t>
        </r>
      </text>
    </comment>
    <comment ref="Q32" authorId="0" shapeId="0" xr:uid="{00000000-0006-0000-0200-00001D000000}">
      <text>
        <r>
          <rPr>
            <sz val="9"/>
            <color rgb="FF000000"/>
            <rFont val="Tahoma"/>
            <family val="2"/>
          </rPr>
          <t xml:space="preserve">Rehun muuntokelpoinen energia, MJ/kg ka (keskimäärin)
</t>
        </r>
        <r>
          <rPr>
            <sz val="9"/>
            <color rgb="FF000000"/>
            <rFont val="Tahoma"/>
            <family val="2"/>
          </rPr>
          <t xml:space="preserve">
</t>
        </r>
        <r>
          <rPr>
            <sz val="9"/>
            <color rgb="FF000000"/>
            <rFont val="Tahoma"/>
            <family val="2"/>
          </rPr>
          <t>Täydennä rehuarvot sivulla Rehuntuotanto</t>
        </r>
      </text>
    </comment>
    <comment ref="C41" authorId="0" shapeId="0" xr:uid="{00000000-0006-0000-0200-00001E000000}">
      <text>
        <r>
          <rPr>
            <sz val="9"/>
            <color rgb="FF000000"/>
            <rFont val="Tahoma"/>
            <family val="2"/>
          </rPr>
          <t>Kirjaa rehuntuotannon ostopanokset kirjanpidosta, euroa/vuosi</t>
        </r>
      </text>
    </comment>
    <comment ref="G41" authorId="0" shapeId="0" xr:uid="{00000000-0006-0000-0200-00001F000000}">
      <text>
        <r>
          <rPr>
            <sz val="9"/>
            <color indexed="81"/>
            <rFont val="Tahoma"/>
            <family val="2"/>
          </rPr>
          <t>Kirjaa rehuntuotannon työmäärät yhteensä työtunteja keskimäärin vuodessa/ha tuotannonhaaroittain
Työaika sisältää myös vieraan työvoiman osuuden!
Urakointipalveluiden käytön osuutta ei lasketa työaikaan, vaan se sisältyy urakointikustannukseen kohdassa Rehuntuotannon ostopanokset
Rehuntuotannon työkustannus lasketaan tässä esitellyn työmäärän perusteella kerrottuna työtunnin hinnalla (katso sivulta Säilörehun tuotantokustannus)</t>
        </r>
      </text>
    </comment>
    <comment ref="M41" authorId="0" shapeId="0" xr:uid="{00000000-0006-0000-0200-000020000000}">
      <text>
        <r>
          <rPr>
            <sz val="9"/>
            <color rgb="FF000000"/>
            <rFont val="Tahoma"/>
            <family val="2"/>
          </rPr>
          <t xml:space="preserve">Laskentajakson (esim. 15 vuotta) rehuntuotannon  investoinnit yhteensä
</t>
        </r>
        <r>
          <rPr>
            <sz val="9"/>
            <color rgb="FF000000"/>
            <rFont val="Tahoma"/>
            <family val="2"/>
          </rPr>
          <t xml:space="preserve">
</t>
        </r>
        <r>
          <rPr>
            <sz val="9"/>
            <color rgb="FF000000"/>
            <rFont val="Tahoma"/>
            <family val="2"/>
          </rPr>
          <t>Jos tilalla on tehty sukupolvenvaihdos laskentajakson aikana, niin käytä osuutta tilakauppahinnasta</t>
        </r>
      </text>
    </comment>
    <comment ref="Q41" authorId="0" shapeId="0" xr:uid="{00000000-0006-0000-0200-000021000000}">
      <text>
        <r>
          <rPr>
            <sz val="9"/>
            <color indexed="81"/>
            <rFont val="Tahoma"/>
            <family val="2"/>
          </rPr>
          <t xml:space="preserve">Kustannusten jako on laskettu rehuntuotannossa tuotetun energiamäärän suhteessa* (MJ):
   - Rehuvilja, kokoviljasäilörehu, laidun ja muut 
     korsirehut.
   - Muulle kuin rehuntuotantoalalle kustannukset on 
     jaettu pinta-alojen suhteessa (ha)
   - Loput on säilörehun osuutta, jolloin myös myyntiin 
     ja varastoon tuotettu säilörehu tulee huomioitua
*Katso Säilörehun tuotantokustannus -sivulta nettosadot ja rehumyynnit &amp; varastoon tuotettu rehu (MJ)
</t>
        </r>
      </text>
    </comment>
    <comment ref="K42" authorId="0" shapeId="0" xr:uid="{603EC8EA-A72D-46BF-9294-D3CAC92ECD79}">
      <text>
        <r>
          <rPr>
            <sz val="9"/>
            <color rgb="FF000000"/>
            <rFont val="Tahoma"/>
            <family val="2"/>
          </rPr>
          <t xml:space="preserve">Määritä rehuntuotannon kone- ja rakennuspääoma tehtyjen investointien yhteismääränä, jonka perusteella lasketaan kiinteät kustannukset: Poisto, korko ja kunnossapito.
</t>
        </r>
        <r>
          <rPr>
            <sz val="9"/>
            <color rgb="FF000000"/>
            <rFont val="Tahoma"/>
            <family val="2"/>
          </rPr>
          <t xml:space="preserve">
</t>
        </r>
        <r>
          <rPr>
            <sz val="9"/>
            <color rgb="FF000000"/>
            <rFont val="Tahoma"/>
            <family val="2"/>
          </rPr>
          <t xml:space="preserve">Laskelmassa on oletuksena, että poistojen määrä on sama kuin keskimääräiset kone- ja rakennushankinnat vuodessa. 
</t>
        </r>
        <r>
          <rPr>
            <sz val="9"/>
            <color rgb="FF000000"/>
            <rFont val="Tahoma"/>
            <family val="2"/>
          </rPr>
          <t xml:space="preserve">
</t>
        </r>
        <r>
          <rPr>
            <sz val="9"/>
            <color rgb="FF000000"/>
            <rFont val="Tahoma"/>
            <family val="2"/>
          </rPr>
          <t xml:space="preserve">Kun koneiden ja rakennusten vuosipoisto on sama kuin keskimääräiset hankinnat vuodessa, niin pääoma pysyy samana! Kehittävällä tilalla käytännössä lisääntyvät kone- ja rakennushankinnat voivat ylittää laskennalliset poistot, mutta tällä laskentatavalla uudet rakennusinvestoinnit näkyvät suoraan kiinteiden kustannusten kasvuna. 
</t>
        </r>
        <r>
          <rPr>
            <sz val="9"/>
            <color rgb="FF000000"/>
            <rFont val="Tahoma"/>
            <family val="2"/>
          </rPr>
          <t xml:space="preserve">
</t>
        </r>
        <r>
          <rPr>
            <sz val="9"/>
            <color rgb="FF000000"/>
            <rFont val="Tahoma"/>
            <family val="2"/>
          </rPr>
          <t xml:space="preserve">Määritä käyttöaika koneille ja rakennuksille siten, että laskelmassa huomioidaan aikaisemmin tehdyt investoinnit.
</t>
        </r>
        <r>
          <rPr>
            <sz val="9"/>
            <color rgb="FF000000"/>
            <rFont val="Tahoma"/>
            <family val="2"/>
          </rPr>
          <t xml:space="preserve">
</t>
        </r>
        <r>
          <rPr>
            <sz val="9"/>
            <color rgb="FF000000"/>
            <rFont val="Tahoma"/>
            <family val="2"/>
          </rPr>
          <t xml:space="preserve">Esim. ajosilppuri on hankittu 15 vuotta sitten ja investointia varten otetusta lainasta on edelleen osa maksamatta: Määritä koneiden ja kaluston käyttöajaksi 15 vuotta ja laske rakennusinvestoinnit yhteensä 15 vuodelta mukaan lukien ajosilppuri.
</t>
        </r>
        <r>
          <rPr>
            <sz val="9"/>
            <color rgb="FF000000"/>
            <rFont val="Tahoma"/>
            <family val="2"/>
          </rPr>
          <t xml:space="preserve">
</t>
        </r>
        <r>
          <rPr>
            <sz val="9"/>
            <color rgb="FF000000"/>
            <rFont val="Tahoma"/>
            <family val="2"/>
          </rPr>
          <t>Kone- ja rakennuspääoman oletetaan olevan sama kuin käyttöajan kone- ja rakennushankintojen yhteismäärä.</t>
        </r>
      </text>
    </comment>
    <comment ref="K43" authorId="0" shapeId="0" xr:uid="{E12D0C85-6C60-41B8-9972-EF2C08F65F2A}">
      <text>
        <r>
          <rPr>
            <sz val="9"/>
            <color rgb="FF000000"/>
            <rFont val="Tahoma"/>
            <family val="2"/>
          </rPr>
          <t xml:space="preserve">Määritä rehuntuotannon kone- ja rakennuspääoma tehtyjen investointien yhteismääränä, jonka perusteella lasketaan kiinteät kustannukset: Poisto, korko ja kunnossapito.
</t>
        </r>
        <r>
          <rPr>
            <sz val="9"/>
            <color rgb="FF000000"/>
            <rFont val="Tahoma"/>
            <family val="2"/>
          </rPr>
          <t xml:space="preserve">
</t>
        </r>
        <r>
          <rPr>
            <sz val="9"/>
            <color rgb="FF000000"/>
            <rFont val="Tahoma"/>
            <family val="2"/>
          </rPr>
          <t xml:space="preserve">Laskelmassa on oletuksena, että poistojen määrä on sama kuin keskimääräiset kone- ja rakennushankinnat vuodessa. 
</t>
        </r>
        <r>
          <rPr>
            <sz val="9"/>
            <color rgb="FF000000"/>
            <rFont val="Tahoma"/>
            <family val="2"/>
          </rPr>
          <t xml:space="preserve">
</t>
        </r>
        <r>
          <rPr>
            <sz val="9"/>
            <color rgb="FF000000"/>
            <rFont val="Tahoma"/>
            <family val="2"/>
          </rPr>
          <t xml:space="preserve">Kun koneiden ja rakennusten vuosipoisto on sama kuin keskimääräiset hankinnat vuodessa, niin pääoma pysyy samana! Kehittävällä tilalla käytännössä lisääntyvät kone- ja rakennushankinnat voivat ylittää laskennalliset poistot, mutta tällä laskentatavalla uudet rakennusinvestoinnit näkyvät suoraan kiinteiden kustannusten kasvuna. 
</t>
        </r>
        <r>
          <rPr>
            <sz val="9"/>
            <color rgb="FF000000"/>
            <rFont val="Tahoma"/>
            <family val="2"/>
          </rPr>
          <t xml:space="preserve">
</t>
        </r>
        <r>
          <rPr>
            <sz val="9"/>
            <color rgb="FF000000"/>
            <rFont val="Tahoma"/>
            <family val="2"/>
          </rPr>
          <t xml:space="preserve">Määritä käyttöaika koneille ja rakennuksille siten, että laskelmassa huomioidaan aikaisemmin tehdyt investoinnit.
</t>
        </r>
        <r>
          <rPr>
            <sz val="9"/>
            <color rgb="FF000000"/>
            <rFont val="Tahoma"/>
            <family val="2"/>
          </rPr>
          <t xml:space="preserve">
</t>
        </r>
        <r>
          <rPr>
            <sz val="9"/>
            <color rgb="FF000000"/>
            <rFont val="Tahoma"/>
            <family val="2"/>
          </rPr>
          <t xml:space="preserve">Esim. ajosilppuri on hankittu 15 vuotta sitten ja investointia varten otetusta lainasta on edelleen osa maksamatta: Määritä koneiden ja kaluston käyttöajaksi 15 vuotta ja laske rakennusinvestoinnit yhteensä 15 vuodelta mukaan lukien ajosilppuri.
</t>
        </r>
        <r>
          <rPr>
            <sz val="9"/>
            <color rgb="FF000000"/>
            <rFont val="Tahoma"/>
            <family val="2"/>
          </rPr>
          <t xml:space="preserve">
</t>
        </r>
        <r>
          <rPr>
            <sz val="9"/>
            <color rgb="FF000000"/>
            <rFont val="Tahoma"/>
            <family val="2"/>
          </rPr>
          <t>Kone- ja rakennuspääoman oletetaan olevan sama kuin käyttöajan kone- ja rakennushankintojen yhteismäärä.</t>
        </r>
      </text>
    </comment>
    <comment ref="B50" authorId="0" shapeId="0" xr:uid="{00000000-0006-0000-0200-000024000000}">
      <text>
        <r>
          <rPr>
            <sz val="9"/>
            <color rgb="FF000000"/>
            <rFont val="Tahoma"/>
            <family val="2"/>
          </rPr>
          <t xml:space="preserve">Kirjaa tähän kirjanpidosta </t>
        </r>
        <r>
          <rPr>
            <b/>
            <sz val="9"/>
            <color rgb="FF000000"/>
            <rFont val="Tahoma"/>
            <family val="2"/>
          </rPr>
          <t>muut pelkästään peltoviljelyyn ja rehuntuotantoon kohdistuvat kulut</t>
        </r>
        <r>
          <rPr>
            <sz val="9"/>
            <color rgb="FF000000"/>
            <rFont val="Tahoma"/>
            <family val="2"/>
          </rPr>
          <t xml:space="preserve">, joita ei ole mainittu edellä:
</t>
        </r>
        <r>
          <rPr>
            <sz val="9"/>
            <color rgb="FF000000"/>
            <rFont val="Tahoma"/>
            <family val="2"/>
          </rPr>
          <t xml:space="preserve">- esim. rehuntuotannon asiantuntijapalveluiden käyttö
</t>
        </r>
        <r>
          <rPr>
            <sz val="9"/>
            <color rgb="FF000000"/>
            <rFont val="Tahoma"/>
            <family val="2"/>
          </rPr>
          <t xml:space="preserve">
</t>
        </r>
        <r>
          <rPr>
            <sz val="9"/>
            <color rgb="FF000000"/>
            <rFont val="Tahoma"/>
            <family val="2"/>
          </rPr>
          <t xml:space="preserve">Tähän ei kirjata yleiskustannuksia:
</t>
        </r>
        <r>
          <rPr>
            <sz val="9"/>
            <color rgb="FF000000"/>
            <rFont val="Tahoma"/>
            <family val="2"/>
          </rPr>
          <t xml:space="preserve">- Laitevuokrat
</t>
        </r>
        <r>
          <rPr>
            <sz val="9"/>
            <color rgb="FF000000"/>
            <rFont val="Tahoma"/>
            <family val="2"/>
          </rPr>
          <t xml:space="preserve">- Vakuutukset
</t>
        </r>
        <r>
          <rPr>
            <sz val="9"/>
            <color rgb="FF000000"/>
            <rFont val="Tahoma"/>
            <family val="2"/>
          </rPr>
          <t xml:space="preserve">- Myel ja Mata
</t>
        </r>
        <r>
          <rPr>
            <sz val="9"/>
            <color rgb="FF000000"/>
            <rFont val="Tahoma"/>
            <family val="2"/>
          </rPr>
          <t xml:space="preserve">- Energia; sähkö ja lämmitys
</t>
        </r>
        <r>
          <rPr>
            <sz val="9"/>
            <color rgb="FF000000"/>
            <rFont val="Tahoma"/>
            <family val="2"/>
          </rPr>
          <t xml:space="preserve">- Kirjanpito
</t>
        </r>
        <r>
          <rPr>
            <sz val="9"/>
            <color rgb="FF000000"/>
            <rFont val="Tahoma"/>
            <family val="2"/>
          </rPr>
          <t>ym.</t>
        </r>
      </text>
    </comment>
    <comment ref="B51" authorId="0" shapeId="0" xr:uid="{00000000-0006-0000-0200-000025000000}">
      <text>
        <r>
          <rPr>
            <sz val="9"/>
            <color indexed="81"/>
            <rFont val="Tahoma"/>
            <family val="2"/>
          </rPr>
          <t>Maksetut peltovuokrat yhteensä €/vuosi</t>
        </r>
      </text>
    </comment>
    <comment ref="C57" authorId="0" shapeId="0" xr:uid="{00000000-0006-0000-0200-000026000000}">
      <text>
        <r>
          <rPr>
            <sz val="9"/>
            <color rgb="FF000000"/>
            <rFont val="Tahoma"/>
            <family val="2"/>
          </rPr>
          <t xml:space="preserve">Yleiskustannuksia ovat kaikki sellaiset maatalouteen kohdistuvat kustannukset, joita ei ole mainittu edellä.
</t>
        </r>
        <r>
          <rPr>
            <sz val="9"/>
            <color rgb="FF000000"/>
            <rFont val="Tahoma"/>
            <family val="2"/>
          </rPr>
          <t xml:space="preserve">
</t>
        </r>
        <r>
          <rPr>
            <sz val="9"/>
            <color rgb="FF000000"/>
            <rFont val="Tahoma"/>
            <family val="2"/>
          </rPr>
          <t xml:space="preserve">Yleiskustannus on yleensä noin 5-10 % liikevaihdosta (myynti + tuet)
</t>
        </r>
        <r>
          <rPr>
            <b/>
            <sz val="9"/>
            <color rgb="FF000000"/>
            <rFont val="Tahoma"/>
            <family val="2"/>
          </rPr>
          <t xml:space="preserve">
</t>
        </r>
        <r>
          <rPr>
            <b/>
            <sz val="9"/>
            <color rgb="FF000000"/>
            <rFont val="Tahoma"/>
            <family val="2"/>
          </rPr>
          <t>Merkitse tähän laskettu yleiskustannusprosentti (rivi 68) tuotantokustannuslaskelmiin:</t>
        </r>
        <r>
          <rPr>
            <sz val="9"/>
            <color rgb="FF000000"/>
            <rFont val="Tahoma"/>
            <family val="2"/>
          </rPr>
          <t xml:space="preserve">
</t>
        </r>
        <r>
          <rPr>
            <sz val="9"/>
            <color rgb="FF000000"/>
            <rFont val="Tahoma"/>
            <family val="2"/>
          </rPr>
          <t xml:space="preserve">  -&gt; peltoviljelyn yleiskustannusosuus säilörehun tuotantokustannuslaskelmaan
</t>
        </r>
        <r>
          <rPr>
            <sz val="9"/>
            <color rgb="FF000000"/>
            <rFont val="Tahoma"/>
            <family val="2"/>
          </rPr>
          <t xml:space="preserve">  -&gt; kotieläintuotannon yleiskustannusosuus kotieläintuotantokustannuslaskelmiin
</t>
        </r>
        <r>
          <rPr>
            <sz val="9"/>
            <color rgb="FF000000"/>
            <rFont val="Tahoma"/>
            <family val="2"/>
          </rPr>
          <t xml:space="preserve">
</t>
        </r>
        <r>
          <rPr>
            <sz val="9"/>
            <color rgb="FF000000"/>
            <rFont val="Tahoma"/>
            <family val="2"/>
          </rPr>
          <t xml:space="preserve">Vaihtoehtoisesti yleiskustannukset lasketaan tuotantokustannuksiin arvioina:
</t>
        </r>
        <r>
          <rPr>
            <sz val="9"/>
            <color rgb="FF000000"/>
            <rFont val="Tahoma"/>
            <family val="2"/>
          </rPr>
          <t xml:space="preserve">   </t>
        </r>
        <r>
          <rPr>
            <b/>
            <sz val="9"/>
            <color rgb="FF000000"/>
            <rFont val="Tahoma"/>
            <family val="2"/>
          </rPr>
          <t>6 % tuotoista</t>
        </r>
      </text>
    </comment>
    <comment ref="H57" authorId="0" shapeId="0" xr:uid="{00000000-0006-0000-0200-000027000000}">
      <text>
        <r>
          <rPr>
            <sz val="9"/>
            <color indexed="81"/>
            <rFont val="Tahoma"/>
            <family val="2"/>
          </rPr>
          <t>Yleiskustannukset on jaettu peltoviljelyn ja kotieläintuotannon osuuksiin liikevaihdon (myynti + tuet) suhteessa. Peltoviljelyssä liikevaihtoon on laskettu vain myyty sato + peltoviljelyn tuet.
Myel ja Mata on jaettu työtuntimäärien suhteessa
Kiinteistövero on jaettu rakennuspoistojen suhteessa
Tarvittaessa jakoa voi muuttaa (vihreät solut). Osuuksien summa tulee olla 100%
Tallenna tiedosto ennen muutosta, niin voit tarvittaessa palauttaa alkuperäiset kaavat</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Savonia</author>
  </authors>
  <commentList>
    <comment ref="E4" authorId="0" shapeId="0" xr:uid="{00000000-0006-0000-0300-000001000000}">
      <text>
        <r>
          <rPr>
            <sz val="9"/>
            <color indexed="81"/>
            <rFont val="Tahoma"/>
            <family val="2"/>
          </rPr>
          <t>Keskilehmäluku/vuosi</t>
        </r>
      </text>
    </comment>
    <comment ref="H4" authorId="0" shapeId="0" xr:uid="{00000000-0006-0000-0300-000002000000}">
      <text>
        <r>
          <rPr>
            <sz val="9"/>
            <color indexed="81"/>
            <rFont val="Tahoma"/>
            <family val="2"/>
          </rPr>
          <t>Maitotuotos ilmoitetaan kiloina, josta johdetaan lehmän energiantarve. Maidon hinnoittelussa sekä tuotantotuessa yksikkönä käytetään litraa.
Maidon tiheys vaihtelee koostumuksen mukaan, joten 
litra maitoa painaa 1028 g - 1034 g.
Tässä laskelmassa maitolitran painona on käytetty 1031 grammaa.</t>
        </r>
      </text>
    </comment>
    <comment ref="I4" authorId="0" shapeId="0" xr:uid="{00000000-0006-0000-0300-000003000000}">
      <text>
        <r>
          <rPr>
            <sz val="9"/>
            <color indexed="81"/>
            <rFont val="Tahoma"/>
            <family val="2"/>
          </rPr>
          <t>Meijeriin toimitettu maitomäärä vuodessa</t>
        </r>
      </text>
    </comment>
    <comment ref="E8" authorId="0" shapeId="0" xr:uid="{00000000-0006-0000-0300-000004000000}">
      <text>
        <r>
          <rPr>
            <sz val="9"/>
            <color rgb="FF000000"/>
            <rFont val="Tahoma"/>
            <family val="2"/>
          </rPr>
          <t>Merkitse valkuaisprosentti ilman %-merkkiä</t>
        </r>
      </text>
    </comment>
    <comment ref="F8" authorId="0" shapeId="0" xr:uid="{00000000-0006-0000-0300-000005000000}">
      <text>
        <r>
          <rPr>
            <sz val="9"/>
            <color rgb="FF000000"/>
            <rFont val="Tahoma"/>
            <family val="2"/>
          </rPr>
          <t>Merkitse rasvaprosentti ilman %-merkkiä</t>
        </r>
      </text>
    </comment>
    <comment ref="E11" authorId="0" shapeId="0" xr:uid="{00000000-0006-0000-0300-000006000000}">
      <text>
        <r>
          <rPr>
            <sz val="9"/>
            <color indexed="81"/>
            <rFont val="Tahoma"/>
            <family val="2"/>
          </rPr>
          <t>Kylmäkasvatus lisää rehunkäyttöä 5-15 %</t>
        </r>
      </text>
    </comment>
    <comment ref="F13" authorId="0" shapeId="0" xr:uid="{00000000-0006-0000-0300-000007000000}">
      <text>
        <r>
          <rPr>
            <sz val="9"/>
            <color rgb="FF000000"/>
            <rFont val="Tahoma"/>
            <family val="2"/>
          </rPr>
          <t xml:space="preserve">Uudistushiehovasikan syntymäelopaino, kg
</t>
        </r>
      </text>
    </comment>
    <comment ref="G13" authorId="0" shapeId="0" xr:uid="{00000000-0006-0000-0300-000008000000}">
      <text>
        <r>
          <rPr>
            <sz val="9"/>
            <color indexed="81"/>
            <rFont val="Tahoma"/>
            <family val="2"/>
          </rPr>
          <t>Poikivan hiehon elopaino, kg</t>
        </r>
      </text>
    </comment>
    <comment ref="H13" authorId="0" shapeId="0" xr:uid="{00000000-0006-0000-0300-000009000000}">
      <text>
        <r>
          <rPr>
            <sz val="9"/>
            <color indexed="81"/>
            <rFont val="Tahoma"/>
            <family val="2"/>
          </rPr>
          <t>Kasvatusaika välituýsvasikkaiästä poikivaksi hiehoksi, kk</t>
        </r>
      </text>
    </comment>
    <comment ref="E17" authorId="0" shapeId="0" xr:uid="{00000000-0006-0000-0300-00000A000000}">
      <text>
        <r>
          <rPr>
            <sz val="9"/>
            <color indexed="81"/>
            <rFont val="Tahoma"/>
            <family val="2"/>
          </rPr>
          <t>Kylmäkasvatus lisää rehunkäyttöä 5-15 %</t>
        </r>
      </text>
    </comment>
    <comment ref="E19" authorId="0" shapeId="0" xr:uid="{00000000-0006-0000-0300-00000B000000}">
      <text>
        <r>
          <rPr>
            <sz val="9"/>
            <color indexed="81"/>
            <rFont val="Tahoma"/>
            <family val="2"/>
          </rPr>
          <t>Keskilehmäluku/vuosi</t>
        </r>
      </text>
    </comment>
    <comment ref="I19" authorId="0" shapeId="0" xr:uid="{00000000-0006-0000-0300-00000C000000}">
      <text>
        <r>
          <rPr>
            <sz val="9"/>
            <color indexed="81"/>
            <rFont val="Tahoma"/>
            <family val="2"/>
          </rPr>
          <t xml:space="preserve">Teuraspaino on tavallisesti </t>
        </r>
        <r>
          <rPr>
            <b/>
            <sz val="9"/>
            <color indexed="81"/>
            <rFont val="Tahoma"/>
            <family val="2"/>
          </rPr>
          <t>45 - 65 %</t>
        </r>
        <r>
          <rPr>
            <sz val="9"/>
            <color indexed="81"/>
            <rFont val="Tahoma"/>
            <family val="2"/>
          </rPr>
          <t xml:space="preserve"> elopainosta.
Ihanteellinen teuraspaino liharotuisella sonnilla on vähintään 400 kg, jolloin se on noin 18 kuukauden ikäinen. 
Lypsyrotuiset sonnit teurastetaan tavallisesti jo 14 kuukauden iässä, jolloin niiden teuraspaino on 240 - 340 kiloa.</t>
        </r>
      </text>
    </comment>
    <comment ref="K19" authorId="0" shapeId="0" xr:uid="{00000000-0006-0000-0300-00000D000000}">
      <text>
        <r>
          <rPr>
            <sz val="9"/>
            <color indexed="81"/>
            <rFont val="Tahoma"/>
            <family val="2"/>
          </rPr>
          <t xml:space="preserve">Kuntoluokan muutos vaikuttaa emolehmän energiantarpeeseen.
Tarkista kuntoluokan muutos sivulta Energiantarve Emolehmä </t>
        </r>
        <r>
          <rPr>
            <b/>
            <sz val="9"/>
            <color indexed="81"/>
            <rFont val="Tahoma"/>
            <family val="2"/>
          </rPr>
          <t>Taulukosta 3</t>
        </r>
        <r>
          <rPr>
            <sz val="9"/>
            <color indexed="81"/>
            <rFont val="Tahoma"/>
            <family val="2"/>
          </rPr>
          <t xml:space="preserve"> ja vaihda tarvittaessa muutosprosentti.</t>
        </r>
      </text>
    </comment>
    <comment ref="E23" authorId="0" shapeId="0" xr:uid="{00000000-0006-0000-0300-00000E000000}">
      <text>
        <r>
          <rPr>
            <sz val="9"/>
            <color indexed="81"/>
            <rFont val="Tahoma"/>
            <family val="2"/>
          </rPr>
          <t>Kylmäkasvatus lisää rehunkäyttöä 5-15 %</t>
        </r>
      </text>
    </comment>
    <comment ref="F25" authorId="0" shapeId="0" xr:uid="{00000000-0006-0000-0300-00000F000000}">
      <text>
        <r>
          <rPr>
            <sz val="9"/>
            <color indexed="81"/>
            <rFont val="Tahoma"/>
            <family val="2"/>
          </rPr>
          <t>Valitse seuraavista (merkitse 1, 2 tai 3)
1 = Keskikokoinen: Angus (ab) ja Hereford (hf)
2 = Iso: Charolais (ch)
3 = Iso: Limousin (Li) ja Blonde d’Aquitane (Ba)</t>
        </r>
      </text>
    </comment>
    <comment ref="G25" authorId="0" shapeId="0" xr:uid="{00000000-0006-0000-0300-000010000000}">
      <text>
        <r>
          <rPr>
            <sz val="9"/>
            <color indexed="81"/>
            <rFont val="Tahoma"/>
            <family val="2"/>
          </rPr>
          <t>Poikivan hiehon elopaino, kg</t>
        </r>
      </text>
    </comment>
    <comment ref="H25" authorId="0" shapeId="0" xr:uid="{00000000-0006-0000-0300-000011000000}">
      <text>
        <r>
          <rPr>
            <sz val="9"/>
            <color rgb="FF000000"/>
            <rFont val="Tahoma"/>
            <family val="2"/>
          </rPr>
          <t>Kasvatusaika välituýsvasikkaiästä poikivaksi hiehoksi, kk</t>
        </r>
      </text>
    </comment>
    <comment ref="E29" authorId="0" shapeId="0" xr:uid="{00000000-0006-0000-0300-000012000000}">
      <text>
        <r>
          <rPr>
            <sz val="9"/>
            <color indexed="81"/>
            <rFont val="Tahoma"/>
            <family val="2"/>
          </rPr>
          <t>Kylmäkasvatus lisää rehunkäyttöä 5-15 %</t>
        </r>
      </text>
    </comment>
    <comment ref="E31" authorId="0" shapeId="0" xr:uid="{00000000-0006-0000-0300-000013000000}">
      <text>
        <r>
          <rPr>
            <sz val="9"/>
            <color indexed="81"/>
            <rFont val="Tahoma"/>
            <family val="2"/>
          </rPr>
          <t>Teurassonnien määrä keskimäärin/vuosi</t>
        </r>
      </text>
    </comment>
    <comment ref="F31" authorId="0" shapeId="0" xr:uid="{00000000-0006-0000-0300-000014000000}">
      <text>
        <r>
          <rPr>
            <sz val="9"/>
            <color indexed="81"/>
            <rFont val="Tahoma"/>
            <family val="2"/>
          </rPr>
          <t>Loppukasvatuksessa välitysvasikan elopaino, kg
Emolehmätuotannossa syntymäpaino, kg</t>
        </r>
      </text>
    </comment>
    <comment ref="G31" authorId="0" shapeId="0" xr:uid="{00000000-0006-0000-0300-000015000000}">
      <text>
        <r>
          <rPr>
            <sz val="9"/>
            <color indexed="81"/>
            <rFont val="Tahoma"/>
            <family val="2"/>
          </rPr>
          <t>Teurassonnin elopaino, kg
= Teuraspaino / Teuraspainon osuus elopainosta</t>
        </r>
      </text>
    </comment>
    <comment ref="I31" authorId="0" shapeId="0" xr:uid="{00000000-0006-0000-0300-000016000000}">
      <text>
        <r>
          <rPr>
            <sz val="9"/>
            <color indexed="81"/>
            <rFont val="Tahoma"/>
            <family val="2"/>
          </rPr>
          <t xml:space="preserve">Teuraspaino on mm. rodusta riippuen </t>
        </r>
        <r>
          <rPr>
            <b/>
            <sz val="9"/>
            <color indexed="81"/>
            <rFont val="Tahoma"/>
            <family val="2"/>
          </rPr>
          <t>45 - 65 %</t>
        </r>
        <r>
          <rPr>
            <sz val="9"/>
            <color indexed="81"/>
            <rFont val="Tahoma"/>
            <family val="2"/>
          </rPr>
          <t xml:space="preserve"> elopainosta.</t>
        </r>
      </text>
    </comment>
    <comment ref="J31" authorId="0" shapeId="0" xr:uid="{00000000-0006-0000-0300-000017000000}">
      <text>
        <r>
          <rPr>
            <sz val="9"/>
            <color indexed="81"/>
            <rFont val="Tahoma"/>
            <family val="2"/>
          </rPr>
          <t>Kasvatusaika välitysvasikkaiästä teuraaksi, kk</t>
        </r>
      </text>
    </comment>
    <comment ref="M31" authorId="0" shapeId="0" xr:uid="{00000000-0006-0000-0300-000018000000}">
      <text>
        <r>
          <rPr>
            <sz val="9"/>
            <color indexed="81"/>
            <rFont val="Tahoma"/>
            <family val="2"/>
          </rPr>
          <t>Liharotuisten teurassonnien osuus kaikista teurassonneista</t>
        </r>
      </text>
    </comment>
    <comment ref="E35" authorId="0" shapeId="0" xr:uid="{00000000-0006-0000-0300-000019000000}">
      <text>
        <r>
          <rPr>
            <sz val="9"/>
            <color indexed="81"/>
            <rFont val="Tahoma"/>
            <family val="2"/>
          </rPr>
          <t>Kylmäkasvatus lisää rehunkäyttöä 5-15 %</t>
        </r>
      </text>
    </comment>
    <comment ref="E37" authorId="0" shapeId="0" xr:uid="{00000000-0006-0000-0300-00001A000000}">
      <text>
        <r>
          <rPr>
            <sz val="9"/>
            <color indexed="81"/>
            <rFont val="Tahoma"/>
            <family val="2"/>
          </rPr>
          <t>Teurashiehojen määrä keskimäärin/vuosi</t>
        </r>
      </text>
    </comment>
    <comment ref="F37" authorId="0" shapeId="0" xr:uid="{00000000-0006-0000-0300-00001B000000}">
      <text>
        <r>
          <rPr>
            <sz val="9"/>
            <color indexed="81"/>
            <rFont val="Tahoma"/>
            <family val="2"/>
          </rPr>
          <t>Loppukasvatuksessa välitysvasikan elopaino, kg
Emolehmätuotannossa syntymäpaino, kg</t>
        </r>
      </text>
    </comment>
    <comment ref="G37" authorId="0" shapeId="0" xr:uid="{00000000-0006-0000-0300-00001C000000}">
      <text>
        <r>
          <rPr>
            <sz val="9"/>
            <color indexed="81"/>
            <rFont val="Tahoma"/>
            <family val="2"/>
          </rPr>
          <t>Teurashiehon elopaino, kg</t>
        </r>
      </text>
    </comment>
    <comment ref="I37" authorId="0" shapeId="0" xr:uid="{00000000-0006-0000-0300-00001D000000}">
      <text>
        <r>
          <rPr>
            <sz val="9"/>
            <color indexed="81"/>
            <rFont val="Tahoma"/>
            <family val="2"/>
          </rPr>
          <t xml:space="preserve">Teuraspaino on mm. rodusta riippuen </t>
        </r>
        <r>
          <rPr>
            <b/>
            <sz val="9"/>
            <color indexed="81"/>
            <rFont val="Tahoma"/>
            <family val="2"/>
          </rPr>
          <t>45 - 65 %</t>
        </r>
        <r>
          <rPr>
            <sz val="9"/>
            <color indexed="81"/>
            <rFont val="Tahoma"/>
            <family val="2"/>
          </rPr>
          <t xml:space="preserve"> elopainosta.</t>
        </r>
      </text>
    </comment>
    <comment ref="J37" authorId="0" shapeId="0" xr:uid="{00000000-0006-0000-0300-00001E000000}">
      <text>
        <r>
          <rPr>
            <sz val="9"/>
            <color indexed="81"/>
            <rFont val="Tahoma"/>
            <family val="2"/>
          </rPr>
          <t>Kasvatusaika välituýsvasikkaiästä teuraaksi, kk</t>
        </r>
      </text>
    </comment>
    <comment ref="M37" authorId="0" shapeId="0" xr:uid="{00000000-0006-0000-0300-00001F000000}">
      <text>
        <r>
          <rPr>
            <sz val="9"/>
            <color indexed="81"/>
            <rFont val="Tahoma"/>
            <family val="2"/>
          </rPr>
          <t>Liharotuisten teurashiehojen osuus kaikista teurashiehoista</t>
        </r>
      </text>
    </comment>
    <comment ref="E41" authorId="0" shapeId="0" xr:uid="{00000000-0006-0000-0300-000020000000}">
      <text>
        <r>
          <rPr>
            <sz val="9"/>
            <color indexed="81"/>
            <rFont val="Tahoma"/>
            <family val="2"/>
          </rPr>
          <t>Kylmäkasvatus lisää rehunkäyttöä 5-15 %</t>
        </r>
      </text>
    </comment>
    <comment ref="E43" authorId="0" shapeId="0" xr:uid="{00000000-0006-0000-0300-000021000000}">
      <text>
        <r>
          <rPr>
            <sz val="9"/>
            <color indexed="81"/>
            <rFont val="Tahoma"/>
            <family val="2"/>
          </rPr>
          <t>Teurassonnien määrä keskimäärin/vuosi</t>
        </r>
      </text>
    </comment>
    <comment ref="F43" authorId="0" shapeId="0" xr:uid="{00000000-0006-0000-0300-000022000000}">
      <text>
        <r>
          <rPr>
            <sz val="9"/>
            <color indexed="81"/>
            <rFont val="Tahoma"/>
            <family val="2"/>
          </rPr>
          <t xml:space="preserve">Siitossonnien keskimääräinen elopaino, kg
</t>
        </r>
      </text>
    </comment>
    <comment ref="H43" authorId="0" shapeId="0" xr:uid="{00000000-0006-0000-0300-000023000000}">
      <text>
        <r>
          <rPr>
            <sz val="9"/>
            <color indexed="81"/>
            <rFont val="Tahoma"/>
            <family val="2"/>
          </rPr>
          <t>Keskimääräinen käyttöikä siitossonnin hankinnasta poistoon, vuosia</t>
        </r>
      </text>
    </comment>
    <comment ref="E47" authorId="0" shapeId="0" xr:uid="{00000000-0006-0000-0300-000024000000}">
      <text>
        <r>
          <rPr>
            <sz val="9"/>
            <color indexed="81"/>
            <rFont val="Tahoma"/>
            <family val="2"/>
          </rPr>
          <t>Kylmäkasvatus lisää rehunkäyttöä 5-15 %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Savonia</author>
  </authors>
  <commentList>
    <comment ref="Y1" authorId="0" shapeId="0" xr:uid="{00000000-0006-0000-0400-000001000000}">
      <text>
        <r>
          <rPr>
            <sz val="9"/>
            <color indexed="81"/>
            <rFont val="Tahoma"/>
            <family val="2"/>
          </rPr>
          <t>Vertaa säilörehun rehuanalyysitulosta ja varastointihävikkiä sivulla Hävikki</t>
        </r>
      </text>
    </comment>
    <comment ref="M5" authorId="0" shapeId="0" xr:uid="{00000000-0006-0000-0400-000002000000}">
      <text>
        <r>
          <rPr>
            <sz val="9"/>
            <color indexed="81"/>
            <rFont val="Tahoma"/>
            <family val="2"/>
          </rPr>
          <t>Rehuanalyysin tulkintaohjeistus, SeiLab</t>
        </r>
      </text>
    </comment>
    <comment ref="N6" authorId="0" shapeId="0" xr:uid="{00000000-0006-0000-0400-000003000000}">
      <text>
        <r>
          <rPr>
            <sz val="9"/>
            <color indexed="81"/>
            <rFont val="Tahoma"/>
            <family val="2"/>
          </rPr>
          <t>Tuore rehu 220–250
Esikuivattu säilörehu:
siilo/auma 250–350
Pyöröpaali 350–450
Torni 300–400</t>
        </r>
      </text>
    </comment>
    <comment ref="O6" authorId="0" shapeId="0" xr:uid="{00000000-0006-0000-0400-000004000000}">
      <text>
        <r>
          <rPr>
            <sz val="9"/>
            <color indexed="81"/>
            <rFont val="Tahoma"/>
            <family val="2"/>
          </rPr>
          <t>Lihanaudat ja lypsylehmät:
680–700
Yli 6 kk:n ikäiset hiehot:
&lt;650
Vasikat, alle 6 kk
&gt;680
Lampaat 680–700</t>
        </r>
      </text>
    </comment>
    <comment ref="P6" authorId="0" shapeId="0" xr:uid="{00000000-0006-0000-0400-000005000000}">
      <text>
        <r>
          <rPr>
            <sz val="9"/>
            <color indexed="81"/>
            <rFont val="Tahoma"/>
            <family val="2"/>
          </rPr>
          <t>Lihanaudat ja lypsylehmät
130–160
Vasikat 140–160
Lampaat 130–170</t>
        </r>
      </text>
    </comment>
    <comment ref="Q6" authorId="0" shapeId="0" xr:uid="{00000000-0006-0000-0400-000006000000}">
      <text>
        <r>
          <rPr>
            <sz val="9"/>
            <color indexed="81"/>
            <rFont val="Tahoma"/>
            <family val="2"/>
          </rPr>
          <t>Min. 25 % kuiva-aine syönnistä</t>
        </r>
      </text>
    </comment>
    <comment ref="R6" authorId="0" shapeId="0" xr:uid="{00000000-0006-0000-0400-000007000000}">
      <text>
        <r>
          <rPr>
            <sz val="9"/>
            <color indexed="81"/>
            <rFont val="Tahoma"/>
            <family val="2"/>
          </rPr>
          <t>Nurmikasvit 80
Palkokasvit 100</t>
        </r>
      </text>
    </comment>
    <comment ref="U6" authorId="0" shapeId="0" xr:uid="{00000000-0006-0000-0400-000008000000}">
      <text>
        <r>
          <rPr>
            <sz val="9"/>
            <color indexed="81"/>
            <rFont val="Tahoma"/>
            <family val="2"/>
          </rPr>
          <t>Pötsimikrobeille riittävä arvo on 0</t>
        </r>
      </text>
    </comment>
    <comment ref="V6" authorId="0" shapeId="0" xr:uid="{00000000-0006-0000-0400-000009000000}">
      <text>
        <r>
          <rPr>
            <sz val="9"/>
            <color indexed="81"/>
            <rFont val="Tahoma"/>
            <family val="2"/>
          </rPr>
          <t>Hyvä= &lt;4,0
Riski = 4,0–4,5
Huono= &gt;4,5</t>
        </r>
      </text>
    </comment>
    <comment ref="W6" authorId="0" shapeId="0" xr:uid="{00000000-0006-0000-0400-00000A000000}">
      <text>
        <r>
          <rPr>
            <sz val="9"/>
            <color indexed="81"/>
            <rFont val="Tahoma"/>
            <family val="2"/>
          </rPr>
          <t>Hyvä 60
Riski 60–80
Huono &gt; 80</t>
        </r>
      </text>
    </comment>
    <comment ref="X6" authorId="0" shapeId="0" xr:uid="{00000000-0006-0000-0400-00000B000000}">
      <text>
        <r>
          <rPr>
            <sz val="9"/>
            <color indexed="81"/>
            <rFont val="Tahoma"/>
            <family val="2"/>
          </rPr>
          <t>Hyvä &lt; 400
Kohtalainen &lt; 500–600
Pilaantunut rehu &gt; 600</t>
        </r>
      </text>
    </comment>
    <comment ref="Y6" authorId="0" shapeId="0" xr:uid="{00000000-0006-0000-0400-00000C000000}">
      <text>
        <r>
          <rPr>
            <sz val="9"/>
            <color indexed="81"/>
            <rFont val="Tahoma"/>
            <family val="2"/>
          </rPr>
          <t>Happosäilöntä 35–60
Biologinen säilöntä 50–80</t>
        </r>
      </text>
    </comment>
    <comment ref="Z6" authorId="0" shapeId="0" xr:uid="{00000000-0006-0000-0400-00000D000000}">
      <text>
        <r>
          <rPr>
            <sz val="9"/>
            <color indexed="81"/>
            <rFont val="Tahoma"/>
            <family val="2"/>
          </rPr>
          <t>Hyvä &lt; 20
Riski 20–30
Pilaantunut/huono &gt; 30</t>
        </r>
      </text>
    </comment>
    <comment ref="AA6" authorId="0" shapeId="0" xr:uid="{00000000-0006-0000-0400-00000E000000}">
      <text>
        <r>
          <rPr>
            <sz val="9"/>
            <color indexed="81"/>
            <rFont val="Tahoma"/>
            <family val="2"/>
          </rPr>
          <t>väh. 50 g/kg ka
tavoite 50–150 g/kg ka</t>
        </r>
      </text>
    </comment>
    <comment ref="AB6" authorId="0" shapeId="0" xr:uid="{00000000-0006-0000-0400-00000F000000}">
      <text>
        <r>
          <rPr>
            <sz val="9"/>
            <color indexed="81"/>
            <rFont val="Tahoma"/>
            <family val="2"/>
          </rPr>
          <t>Karkearehujen välinen vaihtelu 95–110 pistettä.
1 indeksipiste nostaa päivä-
syöntiä 0,1 kuiva-ainekiloa.</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pmohanvi</author>
    <author>Savonia</author>
    <author>User name placeholder</author>
    <author>Yleinen</author>
  </authors>
  <commentList>
    <comment ref="E4" authorId="0" shapeId="0" xr:uid="{00000000-0006-0000-0500-000001000000}">
      <text>
        <r>
          <rPr>
            <sz val="8"/>
            <color indexed="81"/>
            <rFont val="Tahoma"/>
            <family val="2"/>
          </rPr>
          <t xml:space="preserve">Lehmän, emolehmän ja siitossonnin eläinmääriksi määritetään niiden lukumäärä tilalla keskimäärin vuodessa. 
Uudistushiehon ja lihanaudan eläinmääriksi määritetaan:
   Uudistushieho: </t>
        </r>
        <r>
          <rPr>
            <b/>
            <sz val="8"/>
            <color indexed="81"/>
            <rFont val="Tahoma"/>
            <family val="2"/>
          </rPr>
          <t>Poikineita hiehoja keskimäärin vuodessa</t>
        </r>
        <r>
          <rPr>
            <sz val="8"/>
            <color indexed="81"/>
            <rFont val="Tahoma"/>
            <family val="2"/>
          </rPr>
          <t xml:space="preserve"> 
      (lehmämäärä x uudistus-%)
   Lihanauta: </t>
        </r>
        <r>
          <rPr>
            <b/>
            <sz val="8"/>
            <color indexed="81"/>
            <rFont val="Tahoma"/>
            <family val="2"/>
          </rPr>
          <t>Teuraaksi myytyjä eläimiä keskimäärin vuodessa</t>
        </r>
        <r>
          <rPr>
            <sz val="8"/>
            <color indexed="81"/>
            <rFont val="Tahoma"/>
            <family val="2"/>
          </rPr>
          <t xml:space="preserve">
      (Laskelmassa ei siis käytetä hiehojen ja lihanautojen lukumäärä tilalla keskimäärin vuodessa)</t>
        </r>
      </text>
    </comment>
    <comment ref="F4" authorId="0" shapeId="0" xr:uid="{00000000-0006-0000-0500-000002000000}">
      <text>
        <r>
          <rPr>
            <sz val="8"/>
            <color rgb="FF000000"/>
            <rFont val="Tahoma"/>
            <family val="2"/>
          </rPr>
          <t xml:space="preserve">Määritä tuotantoeläinten keskimääräiset </t>
        </r>
        <r>
          <rPr>
            <u/>
            <sz val="8"/>
            <color rgb="FF000000"/>
            <rFont val="Tahoma"/>
            <family val="2"/>
          </rPr>
          <t>vuosituotokset</t>
        </r>
        <r>
          <rPr>
            <sz val="8"/>
            <color rgb="FF000000"/>
            <rFont val="Tahoma"/>
            <family val="2"/>
          </rPr>
          <t xml:space="preserve">:
</t>
        </r>
        <r>
          <rPr>
            <sz val="8"/>
            <color rgb="FF000000"/>
            <rFont val="Tahoma"/>
            <family val="2"/>
          </rPr>
          <t xml:space="preserve">
</t>
        </r>
        <r>
          <rPr>
            <sz val="8"/>
            <color rgb="FF000000"/>
            <rFont val="Tahoma"/>
            <family val="2"/>
          </rPr>
          <t></t>
        </r>
        <r>
          <rPr>
            <sz val="8"/>
            <color rgb="FF000000"/>
            <rFont val="Tahoma"/>
            <family val="2"/>
          </rPr>
          <t xml:space="preserve"> Lehmä: Keskituotos eli </t>
        </r>
        <r>
          <rPr>
            <b/>
            <sz val="8"/>
            <color rgb="FF000000"/>
            <rFont val="Tahoma"/>
            <family val="2"/>
          </rPr>
          <t>kg maitoa vuodessa / lehmä</t>
        </r>
        <r>
          <rPr>
            <sz val="8"/>
            <color rgb="FF000000"/>
            <rFont val="Tahoma"/>
            <family val="2"/>
          </rPr>
          <t xml:space="preserve">
</t>
        </r>
        <r>
          <rPr>
            <sz val="8"/>
            <color rgb="FF000000"/>
            <rFont val="Tahoma"/>
            <family val="2"/>
          </rPr>
          <t xml:space="preserve">
</t>
        </r>
        <r>
          <rPr>
            <sz val="8"/>
            <color rgb="FF000000"/>
            <rFont val="Tahoma"/>
            <family val="2"/>
          </rPr>
          <t></t>
        </r>
        <r>
          <rPr>
            <sz val="8"/>
            <color rgb="FF000000"/>
            <rFont val="Tahoma"/>
            <family val="2"/>
          </rPr>
          <t xml:space="preserve"> Emolehmä: Tuotettu </t>
        </r>
        <r>
          <rPr>
            <b/>
            <sz val="8"/>
            <color rgb="FF000000"/>
            <rFont val="Tahoma"/>
            <family val="2"/>
          </rPr>
          <t>pihvivasikoita kpl vuodessa / emolehmä</t>
        </r>
        <r>
          <rPr>
            <sz val="8"/>
            <color rgb="FF000000"/>
            <rFont val="Tahoma"/>
            <family val="2"/>
          </rPr>
          <t xml:space="preserve">
</t>
        </r>
        <r>
          <rPr>
            <sz val="8"/>
            <color rgb="FF000000"/>
            <rFont val="Tahoma"/>
            <family val="2"/>
          </rPr>
          <t xml:space="preserve">     </t>
        </r>
        <r>
          <rPr>
            <b/>
            <sz val="8"/>
            <color rgb="FF000000"/>
            <rFont val="Tahoma"/>
            <family val="2"/>
          </rPr>
          <t xml:space="preserve"> Pihvivasikan tuotanto:</t>
        </r>
        <r>
          <rPr>
            <sz val="8"/>
            <color rgb="FF000000"/>
            <rFont val="Tahoma"/>
            <family val="2"/>
          </rPr>
          <t xml:space="preserve"> Määritä pihvivasikan keskihinta sivulla </t>
        </r>
        <r>
          <rPr>
            <i/>
            <sz val="8"/>
            <color rgb="FF000000"/>
            <rFont val="Tahoma"/>
            <family val="2"/>
          </rPr>
          <t>Emolehmän tuotantokustannus</t>
        </r>
        <r>
          <rPr>
            <sz val="8"/>
            <color rgb="FF000000"/>
            <rFont val="Tahoma"/>
            <family val="2"/>
          </rPr>
          <t xml:space="preserve">
</t>
        </r>
        <r>
          <rPr>
            <sz val="8"/>
            <color rgb="FF000000"/>
            <rFont val="Tahoma"/>
            <family val="2"/>
          </rPr>
          <t xml:space="preserve">      </t>
        </r>
        <r>
          <rPr>
            <b/>
            <sz val="8"/>
            <color rgb="FF000000"/>
            <rFont val="Tahoma"/>
            <family val="2"/>
          </rPr>
          <t>Yhdistelmätuotanto:</t>
        </r>
        <r>
          <rPr>
            <sz val="8"/>
            <color rgb="FF000000"/>
            <rFont val="Tahoma"/>
            <family val="2"/>
          </rPr>
          <t xml:space="preserve"> Määritä tuotettu (myyty) teuraseläimiä kpl ja keskimääräinen teuraspaino-kg
</t>
        </r>
        <r>
          <rPr>
            <sz val="8"/>
            <color rgb="FF000000"/>
            <rFont val="Tahoma"/>
            <family val="2"/>
          </rPr>
          <t xml:space="preserve">      rivillä 5-6: Lihasonni ja lihahieho
</t>
        </r>
        <r>
          <rPr>
            <sz val="8"/>
            <color rgb="FF000000"/>
            <rFont val="Tahoma"/>
            <family val="2"/>
          </rPr>
          <t xml:space="preserve">
</t>
        </r>
        <r>
          <rPr>
            <sz val="8"/>
            <color rgb="FF000000"/>
            <rFont val="Tahoma"/>
            <family val="2"/>
          </rPr>
          <t xml:space="preserve">Määritä kasvatuseläinten tuotokset </t>
        </r>
        <r>
          <rPr>
            <u/>
            <sz val="8"/>
            <color rgb="FF000000"/>
            <rFont val="Tahoma"/>
            <family val="2"/>
          </rPr>
          <t>kasvatusajalle</t>
        </r>
        <r>
          <rPr>
            <sz val="8"/>
            <color rgb="FF000000"/>
            <rFont val="Tahoma"/>
            <family val="2"/>
          </rPr>
          <t xml:space="preserve">:
</t>
        </r>
        <r>
          <rPr>
            <sz val="8"/>
            <color rgb="FF000000"/>
            <rFont val="Tahoma"/>
            <family val="2"/>
          </rPr>
          <t xml:space="preserve">
</t>
        </r>
        <r>
          <rPr>
            <sz val="8"/>
            <color rgb="FF000000"/>
            <rFont val="Tahoma"/>
            <family val="2"/>
          </rPr>
          <t></t>
        </r>
        <r>
          <rPr>
            <sz val="8"/>
            <color rgb="FF000000"/>
            <rFont val="Tahoma"/>
            <family val="2"/>
          </rPr>
          <t xml:space="preserve"> Hieho (uudistus): </t>
        </r>
        <r>
          <rPr>
            <b/>
            <sz val="8"/>
            <color rgb="FF000000"/>
            <rFont val="Tahoma"/>
            <family val="2"/>
          </rPr>
          <t>Uudistushiehon tuotos on 1</t>
        </r>
        <r>
          <rPr>
            <sz val="8"/>
            <color rgb="FF000000"/>
            <rFont val="Tahoma"/>
            <family val="2"/>
          </rPr>
          <t xml:space="preserve">, joka tarkoittaa, että hiehon kasvatusaikana on tuotettu yksi poikiva hieho.
</t>
        </r>
        <r>
          <rPr>
            <sz val="8"/>
            <color rgb="FF000000"/>
            <rFont val="Tahoma"/>
            <family val="2"/>
          </rPr>
          <t xml:space="preserve">      Uudistushiehon hinnan voit tarvittaessa määrittää sivulla </t>
        </r>
        <r>
          <rPr>
            <i/>
            <sz val="8"/>
            <color rgb="FF000000"/>
            <rFont val="Tahoma"/>
            <family val="2"/>
          </rPr>
          <t>Maidon tai Emolehmän tuotantokustannus</t>
        </r>
        <r>
          <rPr>
            <sz val="8"/>
            <color rgb="FF000000"/>
            <rFont val="Tahoma"/>
            <family val="2"/>
          </rPr>
          <t xml:space="preserve">
</t>
        </r>
        <r>
          <rPr>
            <sz val="8"/>
            <color rgb="FF000000"/>
            <rFont val="Tahoma"/>
            <family val="2"/>
          </rPr>
          <t xml:space="preserve">
</t>
        </r>
        <r>
          <rPr>
            <sz val="8"/>
            <color rgb="FF000000"/>
            <rFont val="Tahoma"/>
            <family val="2"/>
          </rPr>
          <t></t>
        </r>
        <r>
          <rPr>
            <sz val="8"/>
            <color rgb="FF000000"/>
            <rFont val="Tahoma"/>
            <family val="2"/>
          </rPr>
          <t xml:space="preserve"> Lihanauta: Keskimääräinen teuraspaino eli </t>
        </r>
        <r>
          <rPr>
            <b/>
            <sz val="8"/>
            <color rgb="FF000000"/>
            <rFont val="Tahoma"/>
            <family val="2"/>
          </rPr>
          <t>kg lihaa kasvatusaikana / lihanauta</t>
        </r>
        <r>
          <rPr>
            <sz val="8"/>
            <color rgb="FF000000"/>
            <rFont val="Tahoma"/>
            <family val="2"/>
          </rPr>
          <t xml:space="preserve">
</t>
        </r>
      </text>
    </comment>
    <comment ref="G4" authorId="1" shapeId="0" xr:uid="{00000000-0006-0000-0500-000003000000}">
      <text>
        <r>
          <rPr>
            <b/>
            <sz val="9"/>
            <color indexed="81"/>
            <rFont val="Tahoma"/>
            <family val="2"/>
          </rPr>
          <t>Muuta tarvittaessa tuotosta</t>
        </r>
        <r>
          <rPr>
            <sz val="9"/>
            <color indexed="81"/>
            <rFont val="Tahoma"/>
            <family val="2"/>
          </rPr>
          <t xml:space="preserve"> siten, että Tuotanto yhteensä vuodessa vastaa käytäntöä.</t>
        </r>
      </text>
    </comment>
    <comment ref="L5" authorId="1" shapeId="0" xr:uid="{00000000-0006-0000-0500-000004000000}">
      <text>
        <r>
          <rPr>
            <sz val="9"/>
            <color indexed="81"/>
            <rFont val="Tahoma"/>
            <family val="2"/>
          </rPr>
          <t xml:space="preserve">Määritä maidon pitoisuudet ym. </t>
        </r>
        <r>
          <rPr>
            <i/>
            <sz val="9"/>
            <color indexed="81"/>
            <rFont val="Tahoma"/>
            <family val="2"/>
          </rPr>
          <t>Energiantarve</t>
        </r>
        <r>
          <rPr>
            <sz val="9"/>
            <color indexed="81"/>
            <rFont val="Tahoma"/>
            <family val="2"/>
          </rPr>
          <t xml:space="preserve">-sivulla </t>
        </r>
      </text>
    </comment>
    <comment ref="P5" authorId="1" shapeId="0" xr:uid="{00000000-0006-0000-0500-000005000000}">
      <text>
        <r>
          <rPr>
            <sz val="9"/>
            <color indexed="81"/>
            <rFont val="Tahoma"/>
            <family val="2"/>
          </rPr>
          <t xml:space="preserve">Muuta muun käytön osuus-% tarvittaessa </t>
        </r>
        <r>
          <rPr>
            <b/>
            <sz val="9"/>
            <color indexed="81"/>
            <rFont val="Tahoma"/>
            <family val="2"/>
          </rPr>
          <t>Energiantarve</t>
        </r>
        <r>
          <rPr>
            <sz val="9"/>
            <color indexed="81"/>
            <rFont val="Tahoma"/>
            <family val="2"/>
          </rPr>
          <t>-sivulla</t>
        </r>
      </text>
    </comment>
    <comment ref="E6" authorId="1" shapeId="0" xr:uid="{00000000-0006-0000-0500-000006000000}">
      <text>
        <r>
          <rPr>
            <sz val="9"/>
            <color rgb="FF000000"/>
            <rFont val="Tahoma"/>
            <family val="2"/>
          </rPr>
          <t xml:space="preserve">Lehmämäärä x uudistus-%
</t>
        </r>
        <r>
          <rPr>
            <sz val="9"/>
            <color rgb="FF000000"/>
            <rFont val="Tahoma"/>
            <family val="2"/>
          </rPr>
          <t xml:space="preserve">= Poikivien hiehojen määrä keskimäärin vuodessa
</t>
        </r>
        <r>
          <rPr>
            <sz val="9"/>
            <color rgb="FF000000"/>
            <rFont val="Tahoma"/>
            <family val="2"/>
          </rPr>
          <t xml:space="preserve">
</t>
        </r>
        <r>
          <rPr>
            <sz val="9"/>
            <color rgb="FF000000"/>
            <rFont val="Tahoma"/>
            <family val="2"/>
          </rPr>
          <t xml:space="preserve">Muuta tarvittaessa uudistusprosenttia </t>
        </r>
        <r>
          <rPr>
            <b/>
            <sz val="9"/>
            <color rgb="FF000000"/>
            <rFont val="Tahoma"/>
            <family val="2"/>
          </rPr>
          <t>Energiantarve</t>
        </r>
        <r>
          <rPr>
            <sz val="9"/>
            <color rgb="FF000000"/>
            <rFont val="Tahoma"/>
            <family val="2"/>
          </rPr>
          <t>-sivulla</t>
        </r>
      </text>
    </comment>
    <comment ref="E8" authorId="1" shapeId="0" xr:uid="{00000000-0006-0000-0500-000007000000}">
      <text>
        <r>
          <rPr>
            <sz val="9"/>
            <color indexed="81"/>
            <rFont val="Tahoma"/>
            <family val="2"/>
          </rPr>
          <t xml:space="preserve">Lehmämäärä x uudistus-%
= Poikivien hiehojen määrä keskimäärin vuodessa
Muuta tarvittaessa uudistusprosenttia </t>
        </r>
        <r>
          <rPr>
            <b/>
            <sz val="9"/>
            <color indexed="81"/>
            <rFont val="Tahoma"/>
            <family val="2"/>
          </rPr>
          <t>Energiantarve</t>
        </r>
        <r>
          <rPr>
            <sz val="9"/>
            <color indexed="81"/>
            <rFont val="Tahoma"/>
            <family val="2"/>
          </rPr>
          <t>-sivulla</t>
        </r>
      </text>
    </comment>
    <comment ref="N11" authorId="1" shapeId="0" xr:uid="{00000000-0006-0000-0500-000008000000}">
      <text>
        <r>
          <rPr>
            <sz val="9"/>
            <color indexed="81"/>
            <rFont val="Tahoma"/>
            <family val="2"/>
          </rPr>
          <t xml:space="preserve">Muuta keskimääräinen käyttöikä </t>
        </r>
        <r>
          <rPr>
            <i/>
            <sz val="9"/>
            <color indexed="81"/>
            <rFont val="Tahoma"/>
            <family val="2"/>
          </rPr>
          <t>Energiantarve</t>
        </r>
        <r>
          <rPr>
            <sz val="9"/>
            <color indexed="81"/>
            <rFont val="Tahoma"/>
            <family val="2"/>
          </rPr>
          <t>-sivulla</t>
        </r>
      </text>
    </comment>
    <comment ref="P14" authorId="1" shapeId="0" xr:uid="{00000000-0006-0000-0500-000009000000}">
      <text>
        <r>
          <rPr>
            <sz val="9"/>
            <color indexed="81"/>
            <rFont val="Tahoma"/>
            <family val="2"/>
          </rPr>
          <t xml:space="preserve">Vertaa säilörehun tuotantoa ja käyttöä, joiden perusteella ohjelma laskee </t>
        </r>
        <r>
          <rPr>
            <b/>
            <sz val="9"/>
            <color indexed="81"/>
            <rFont val="Tahoma"/>
            <family val="2"/>
          </rPr>
          <t>säilörehun varastointi- ja ruokintahävikin</t>
        </r>
        <r>
          <rPr>
            <sz val="9"/>
            <color indexed="81"/>
            <rFont val="Tahoma"/>
            <family val="2"/>
          </rPr>
          <t xml:space="preserve">.
Hävikki paljastaa korjatun sadon (bruttosato) ja kotieläimille käytetyn rehumäärän (nettosato) erotuksen.
</t>
        </r>
        <r>
          <rPr>
            <b/>
            <sz val="9"/>
            <color indexed="81"/>
            <rFont val="Tahoma"/>
            <family val="2"/>
          </rPr>
          <t>Kirjaa laskelmaan ensin:</t>
        </r>
        <r>
          <rPr>
            <sz val="9"/>
            <color indexed="81"/>
            <rFont val="Tahoma"/>
            <family val="2"/>
          </rPr>
          <t xml:space="preserve">
- eläinmäärät ja -tuotokset
- rehuntuotantoalat ja -sadot
     täydennä tietoja sivulla </t>
        </r>
        <r>
          <rPr>
            <i/>
            <sz val="9"/>
            <color indexed="81"/>
            <rFont val="Tahoma"/>
            <family val="2"/>
          </rPr>
          <t>Rehuntuotanto</t>
        </r>
        <r>
          <rPr>
            <sz val="9"/>
            <color indexed="81"/>
            <rFont val="Tahoma"/>
            <family val="2"/>
          </rPr>
          <t xml:space="preserve">
- ostorehujen käyttö
- rehujen myynnit
Korjaa lähtötietoja tarvittaessa:
- säilörehun hävikki on arveluttavan korkea
- säilörehun hävikki on arveluttavan pieni
Katso ohje kohdasta </t>
        </r>
        <r>
          <rPr>
            <i/>
            <sz val="9"/>
            <color indexed="81"/>
            <rFont val="Tahoma"/>
            <family val="2"/>
          </rPr>
          <t xml:space="preserve">Säilörehun varastointi- ja ruokintahävikki
</t>
        </r>
        <r>
          <rPr>
            <sz val="9"/>
            <color indexed="81"/>
            <rFont val="Tahoma"/>
            <family val="2"/>
          </rPr>
          <t xml:space="preserve">
</t>
        </r>
        <r>
          <rPr>
            <b/>
            <sz val="9"/>
            <color indexed="81"/>
            <rFont val="Tahoma"/>
            <family val="2"/>
          </rPr>
          <t>Pohdi mistä hävikki johtuu</t>
        </r>
        <r>
          <rPr>
            <sz val="9"/>
            <color indexed="81"/>
            <rFont val="Tahoma"/>
            <family val="2"/>
          </rPr>
          <t xml:space="preserve"> ja millä toimenpiteillä hävikkiä voi pienentää!</t>
        </r>
      </text>
    </comment>
    <comment ref="I15" authorId="0" shapeId="0" xr:uid="{00000000-0006-0000-0500-00000A000000}">
      <text>
        <r>
          <rPr>
            <sz val="8"/>
            <color indexed="81"/>
            <rFont val="Tahoma"/>
            <family val="2"/>
          </rPr>
          <t>MJ-sato (MJ/ha) kerrottuna viljelyalalla</t>
        </r>
      </text>
    </comment>
    <comment ref="M15" authorId="1" shapeId="0" xr:uid="{00000000-0006-0000-0500-00000B000000}">
      <text>
        <r>
          <rPr>
            <b/>
            <sz val="9"/>
            <color indexed="81"/>
            <rFont val="Tahoma"/>
            <family val="2"/>
          </rPr>
          <t xml:space="preserve">Kun säilörehun </t>
        </r>
        <r>
          <rPr>
            <b/>
            <u/>
            <sz val="9"/>
            <color indexed="81"/>
            <rFont val="Tahoma"/>
            <family val="2"/>
          </rPr>
          <t>netto</t>
        </r>
        <r>
          <rPr>
            <b/>
            <sz val="9"/>
            <color indexed="81"/>
            <rFont val="Tahoma"/>
            <family val="2"/>
          </rPr>
          <t xml:space="preserve">sato on </t>
        </r>
        <r>
          <rPr>
            <sz val="9"/>
            <color indexed="81"/>
            <rFont val="Tahoma"/>
            <family val="2"/>
          </rPr>
          <t xml:space="preserve">
- huono, kun jää alle 5000 kg ka/ha
- alhainen, kun 5000 - 6000
- keskimääräinen, kun 6000 - 8000
- hyvä, kun 8000 - 9000
- parhaan neljänneksen sato, kun 9000 - 10000 ja
- erinomainen, kun sato on yli 10000 kg ka/ha</t>
        </r>
      </text>
    </comment>
    <comment ref="P15" authorId="1" shapeId="0" xr:uid="{00000000-0006-0000-0500-00000C000000}">
      <text>
        <r>
          <rPr>
            <b/>
            <sz val="9"/>
            <color indexed="81"/>
            <rFont val="Tahoma"/>
            <family val="2"/>
          </rPr>
          <t>Kun säilörehun hävikki on</t>
        </r>
        <r>
          <rPr>
            <sz val="9"/>
            <color indexed="81"/>
            <rFont val="Tahoma"/>
            <family val="2"/>
          </rPr>
          <t xml:space="preserve">
alle 5 %, niin se on epärealistisen alhainen
5-6 %     hyvällä tasolla
6-8 %     keskimääräinen
8-12 %   kohtalainen
12-15 %  normaalia korkeampi
yli 15 %   erittäin suuri
</t>
        </r>
        <r>
          <rPr>
            <b/>
            <sz val="9"/>
            <color indexed="81"/>
            <rFont val="Tahoma"/>
            <family val="2"/>
          </rPr>
          <t xml:space="preserve">? </t>
        </r>
        <r>
          <rPr>
            <sz val="9"/>
            <color indexed="81"/>
            <rFont val="Tahoma"/>
            <family val="2"/>
          </rPr>
          <t xml:space="preserve">
Kysymysmerkki tarkoittaa, että säilörehun nettosato on suurempi kuin bruttosato, mikä ei ole mahdollista:
Tarkista ostorehut, eläinmäärät, rehuntuotantoalat jne.</t>
        </r>
      </text>
    </comment>
    <comment ref="D26" authorId="1" shapeId="0" xr:uid="{00000000-0006-0000-0500-00000D000000}">
      <text>
        <r>
          <rPr>
            <sz val="9"/>
            <color indexed="81"/>
            <rFont val="Tahoma"/>
            <family val="2"/>
          </rPr>
          <t>Tee erittely alla olevaan taulukkoon!</t>
        </r>
      </text>
    </comment>
    <comment ref="D27" authorId="1" shapeId="0" xr:uid="{00000000-0006-0000-0500-00000E000000}">
      <text>
        <r>
          <rPr>
            <sz val="9"/>
            <color indexed="81"/>
            <rFont val="Tahoma"/>
            <family val="2"/>
          </rPr>
          <t>Tee erittely alla olevaan taulukkoon!</t>
        </r>
      </text>
    </comment>
    <comment ref="D28" authorId="1" shapeId="0" xr:uid="{00000000-0006-0000-0500-00000F000000}">
      <text>
        <r>
          <rPr>
            <sz val="9"/>
            <color indexed="81"/>
            <rFont val="Tahoma"/>
            <family val="2"/>
          </rPr>
          <t>Tee erittely alla olevaan taulukkoon!</t>
        </r>
      </text>
    </comment>
    <comment ref="D30" authorId="1" shapeId="0" xr:uid="{00000000-0006-0000-0500-000010000000}">
      <text>
        <r>
          <rPr>
            <sz val="9"/>
            <color indexed="81"/>
            <rFont val="Tahoma"/>
            <family val="2"/>
          </rPr>
          <t>Merkitse tähän rehumyynnit ja varastoon tuotettu rehu.
Vuosittain tuotettavaa puskurivarastoa ei merkitä, kun rehun tuotanto vastaa karjan vuosittaista rehun käyttöä.
Merkitse tarvittaessa ylijäämävarastojen käyttö tähän miinusmerkkisenä.</t>
        </r>
      </text>
    </comment>
    <comment ref="I30" authorId="2" shapeId="0" xr:uid="{00000000-0006-0000-0500-000011000000}">
      <text>
        <r>
          <rPr>
            <sz val="8"/>
            <color indexed="81"/>
            <rFont val="Tahoma"/>
            <family val="2"/>
          </rPr>
          <t>Kuiva-aine (kg ka) kerrottuna energiasisällöllä (MJ/kg ka)</t>
        </r>
      </text>
    </comment>
    <comment ref="D39" authorId="3" shapeId="0" xr:uid="{00000000-0006-0000-0500-000012000000}">
      <text>
        <r>
          <rPr>
            <sz val="9"/>
            <color indexed="81"/>
            <rFont val="Tahoma"/>
            <family val="2"/>
          </rPr>
          <t>Erittele ruokinnassa käytettävät osto</t>
        </r>
        <r>
          <rPr>
            <b/>
            <sz val="9"/>
            <color indexed="81"/>
            <rFont val="Tahoma"/>
            <family val="2"/>
          </rPr>
          <t>väkirehut</t>
        </r>
        <r>
          <rPr>
            <sz val="9"/>
            <color indexed="81"/>
            <rFont val="Tahoma"/>
            <family val="2"/>
          </rPr>
          <t xml:space="preserve"> /vuosi
Nimeä ostorehut ja määritä niiden ME (muuntokelpoisen energian määrä)</t>
        </r>
      </text>
    </comment>
    <comment ref="E39" authorId="1" shapeId="0" xr:uid="{00000000-0006-0000-0500-000013000000}">
      <text>
        <r>
          <rPr>
            <sz val="9"/>
            <color indexed="81"/>
            <rFont val="Tahoma"/>
            <family val="2"/>
          </rPr>
          <t>Merkitse ostorehut kokonaismäärinä eli paljonko hankitaan esim. täysrehua kg/vuosi koko eläinmäärälle.</t>
        </r>
      </text>
    </comment>
    <comment ref="F39" authorId="0" shapeId="0" xr:uid="{00000000-0006-0000-0500-000014000000}">
      <text>
        <r>
          <rPr>
            <sz val="8"/>
            <color indexed="81"/>
            <rFont val="Tahoma"/>
            <family val="2"/>
          </rPr>
          <t xml:space="preserve">Määritä </t>
        </r>
        <r>
          <rPr>
            <b/>
            <sz val="8"/>
            <color indexed="81"/>
            <rFont val="Tahoma"/>
            <family val="2"/>
          </rPr>
          <t xml:space="preserve">rehun kuiva-aine (g/kg)
www.luke.fi </t>
        </r>
        <r>
          <rPr>
            <sz val="8"/>
            <color indexed="81"/>
            <rFont val="Tahoma"/>
            <family val="2"/>
          </rPr>
          <t>/rehutaulukot
Tarvittaessa rehuarvot vakuustodistuksesta tai rehun valmistajan nettisivuilta.
Esim. viljapohjaisten rehujen (täysrehu, tiiviste ym.) kuiva-aine on 875 g/kg</t>
        </r>
      </text>
    </comment>
    <comment ref="G39" authorId="0" shapeId="0" xr:uid="{00000000-0006-0000-0500-000015000000}">
      <text>
        <r>
          <rPr>
            <sz val="8"/>
            <color indexed="81"/>
            <rFont val="Tahoma"/>
            <family val="2"/>
          </rPr>
          <t xml:space="preserve">Määrä (kg) </t>
        </r>
        <r>
          <rPr>
            <b/>
            <sz val="8"/>
            <color indexed="81"/>
            <rFont val="Tahoma"/>
            <family val="2"/>
          </rPr>
          <t>kerrottuna</t>
        </r>
        <r>
          <rPr>
            <sz val="8"/>
            <color indexed="81"/>
            <rFont val="Tahoma"/>
            <family val="2"/>
          </rPr>
          <t xml:space="preserve"> kuiva-ainemäärällä (g/kg) </t>
        </r>
        <r>
          <rPr>
            <b/>
            <sz val="8"/>
            <color indexed="81"/>
            <rFont val="Tahoma"/>
            <family val="2"/>
          </rPr>
          <t>jaettuna</t>
        </r>
        <r>
          <rPr>
            <sz val="8"/>
            <color indexed="81"/>
            <rFont val="Tahoma"/>
            <family val="2"/>
          </rPr>
          <t xml:space="preserve"> tuhannella</t>
        </r>
      </text>
    </comment>
    <comment ref="H39" authorId="0" shapeId="0" xr:uid="{00000000-0006-0000-0500-000016000000}">
      <text>
        <r>
          <rPr>
            <sz val="8"/>
            <color indexed="81"/>
            <rFont val="Tahoma"/>
            <family val="2"/>
          </rPr>
          <t xml:space="preserve">Määritä </t>
        </r>
        <r>
          <rPr>
            <b/>
            <sz val="8"/>
            <color indexed="81"/>
            <rFont val="Tahoma"/>
            <family val="2"/>
          </rPr>
          <t>rehujen</t>
        </r>
        <r>
          <rPr>
            <sz val="8"/>
            <color indexed="81"/>
            <rFont val="Tahoma"/>
            <family val="2"/>
          </rPr>
          <t xml:space="preserve"> muuntokelpoinen energia, ME (MJ/kg ka)
</t>
        </r>
        <r>
          <rPr>
            <b/>
            <sz val="8"/>
            <color indexed="81"/>
            <rFont val="Tahoma"/>
            <family val="2"/>
          </rPr>
          <t>www.luke.fi</t>
        </r>
        <r>
          <rPr>
            <sz val="8"/>
            <color indexed="81"/>
            <rFont val="Tahoma"/>
            <family val="2"/>
          </rPr>
          <t xml:space="preserve"> /rehutaulukot
Tarvittaessa rehuarvot vakuustodistuksesta tai rehun valmistajan nettisivuilta.</t>
        </r>
      </text>
    </comment>
    <comment ref="I39" authorId="2" shapeId="0" xr:uid="{00000000-0006-0000-0500-000017000000}">
      <text>
        <r>
          <rPr>
            <sz val="8"/>
            <color indexed="81"/>
            <rFont val="Tahoma"/>
            <family val="2"/>
          </rPr>
          <t>Kuiva-aine (kg ka) kerrottuna energiasisällöllä (MJ/kg ka)</t>
        </r>
      </text>
    </comment>
    <comment ref="C51" authorId="1" shapeId="0" xr:uid="{00000000-0006-0000-0500-000018000000}">
      <text>
        <r>
          <rPr>
            <b/>
            <sz val="9"/>
            <color indexed="81"/>
            <rFont val="Tahoma"/>
            <family val="2"/>
          </rPr>
          <t>Erotus lasketaan:</t>
        </r>
        <r>
          <rPr>
            <sz val="9"/>
            <color indexed="81"/>
            <rFont val="Tahoma"/>
            <family val="2"/>
          </rPr>
          <t xml:space="preserve">
Ostoväkirehujen käyttö (rivi 25) miinus Ostoväkirehut (eriteltyinä) yhteensä (rivi 40)
</t>
        </r>
        <r>
          <rPr>
            <b/>
            <sz val="9"/>
            <color indexed="81"/>
            <rFont val="Tahoma"/>
            <family val="2"/>
          </rPr>
          <t>Mikäli edellisten erotus on</t>
        </r>
        <r>
          <rPr>
            <sz val="9"/>
            <color indexed="81"/>
            <rFont val="Tahoma"/>
            <family val="2"/>
          </rPr>
          <t xml:space="preserve">
</t>
        </r>
        <r>
          <rPr>
            <b/>
            <sz val="9"/>
            <color indexed="81"/>
            <rFont val="Tahoma"/>
            <family val="2"/>
          </rPr>
          <t>&lt; 0</t>
        </r>
        <r>
          <rPr>
            <sz val="9"/>
            <color indexed="81"/>
            <rFont val="Tahoma"/>
            <family val="2"/>
          </rPr>
          <t xml:space="preserve">, niin </t>
        </r>
        <r>
          <rPr>
            <sz val="9"/>
            <color indexed="10"/>
            <rFont val="Tahoma"/>
            <family val="2"/>
          </rPr>
          <t>tarkista</t>
        </r>
        <r>
          <rPr>
            <sz val="9"/>
            <color indexed="81"/>
            <rFont val="Tahoma"/>
            <family val="2"/>
          </rPr>
          <t xml:space="preserve"> Ostoväkirehujen käyttömäärä (rivi 25) ja Ostoväkirehut (eriteltyinä) (rivit 41-50)
</t>
        </r>
        <r>
          <rPr>
            <b/>
            <sz val="9"/>
            <color indexed="81"/>
            <rFont val="Tahoma"/>
            <family val="2"/>
          </rPr>
          <t>&gt; 0</t>
        </r>
        <r>
          <rPr>
            <sz val="9"/>
            <color indexed="81"/>
            <rFont val="Tahoma"/>
            <family val="2"/>
          </rPr>
          <t>, niin erittelystä erittelemätän ostoväkirehu lasketaan rehuarvoilla 870 g/kg ja 12,5 MJ/kg ka</t>
        </r>
      </text>
    </comment>
    <comment ref="D53" authorId="3" shapeId="0" xr:uid="{00000000-0006-0000-0500-000019000000}">
      <text>
        <r>
          <rPr>
            <sz val="9"/>
            <color indexed="81"/>
            <rFont val="Tahoma"/>
            <family val="2"/>
          </rPr>
          <t>Erittele ruokinnassa käytettävät osto</t>
        </r>
        <r>
          <rPr>
            <b/>
            <sz val="9"/>
            <color indexed="81"/>
            <rFont val="Tahoma"/>
            <family val="2"/>
          </rPr>
          <t>korsirehut</t>
        </r>
        <r>
          <rPr>
            <sz val="9"/>
            <color indexed="81"/>
            <rFont val="Tahoma"/>
            <family val="2"/>
          </rPr>
          <t xml:space="preserve"> /vuosi
Nimeä ostorehut ja määritä niiden ME (muuntokelpoisen energian määrä)</t>
        </r>
      </text>
    </comment>
    <comment ref="E53" authorId="1" shapeId="0" xr:uid="{00000000-0006-0000-0500-00001A000000}">
      <text>
        <r>
          <rPr>
            <sz val="9"/>
            <color indexed="81"/>
            <rFont val="Tahoma"/>
            <family val="2"/>
          </rPr>
          <t>Merkitse ostorehut kokonaismäärinä eli paljonko hankitaan esim. säilörehua kg/vuosi koko eläinmäärälle.</t>
        </r>
      </text>
    </comment>
    <comment ref="F53" authorId="0" shapeId="0" xr:uid="{00000000-0006-0000-0500-00001B000000}">
      <text>
        <r>
          <rPr>
            <sz val="8"/>
            <color indexed="81"/>
            <rFont val="Tahoma"/>
            <family val="2"/>
          </rPr>
          <t xml:space="preserve">Määritä </t>
        </r>
        <r>
          <rPr>
            <b/>
            <sz val="8"/>
            <color indexed="81"/>
            <rFont val="Tahoma"/>
            <family val="2"/>
          </rPr>
          <t xml:space="preserve">rehun kuiva-aine (g/kg)
www.luke.fi </t>
        </r>
        <r>
          <rPr>
            <sz val="8"/>
            <color indexed="81"/>
            <rFont val="Tahoma"/>
            <family val="2"/>
          </rPr>
          <t>/rehutaulukot
Tarvittaessa rehuarvot vakuustodistuksesta tai rehun valmistajan nettisivuilta.
Esim. viljapohjaisten rehujen (täysrehu, tiiviste ym.) kuiva-aine on 875 g/kg</t>
        </r>
      </text>
    </comment>
    <comment ref="G53" authorId="0" shapeId="0" xr:uid="{00000000-0006-0000-0500-00001C000000}">
      <text>
        <r>
          <rPr>
            <sz val="8"/>
            <color indexed="81"/>
            <rFont val="Tahoma"/>
            <family val="2"/>
          </rPr>
          <t xml:space="preserve">Määrä (kg) </t>
        </r>
        <r>
          <rPr>
            <b/>
            <sz val="8"/>
            <color indexed="81"/>
            <rFont val="Tahoma"/>
            <family val="2"/>
          </rPr>
          <t>kerrottuna</t>
        </r>
        <r>
          <rPr>
            <sz val="8"/>
            <color indexed="81"/>
            <rFont val="Tahoma"/>
            <family val="2"/>
          </rPr>
          <t xml:space="preserve"> kuiva-ainemäärällä (g/kg) </t>
        </r>
        <r>
          <rPr>
            <b/>
            <sz val="8"/>
            <color indexed="81"/>
            <rFont val="Tahoma"/>
            <family val="2"/>
          </rPr>
          <t>jaettuna</t>
        </r>
        <r>
          <rPr>
            <sz val="8"/>
            <color indexed="81"/>
            <rFont val="Tahoma"/>
            <family val="2"/>
          </rPr>
          <t xml:space="preserve"> tuhannella</t>
        </r>
      </text>
    </comment>
    <comment ref="H53" authorId="0" shapeId="0" xr:uid="{00000000-0006-0000-0500-00001D000000}">
      <text>
        <r>
          <rPr>
            <sz val="8"/>
            <color indexed="81"/>
            <rFont val="Tahoma"/>
            <family val="2"/>
          </rPr>
          <t xml:space="preserve">Määritä </t>
        </r>
        <r>
          <rPr>
            <b/>
            <sz val="8"/>
            <color indexed="81"/>
            <rFont val="Tahoma"/>
            <family val="2"/>
          </rPr>
          <t>rehujen</t>
        </r>
        <r>
          <rPr>
            <sz val="8"/>
            <color indexed="81"/>
            <rFont val="Tahoma"/>
            <family val="2"/>
          </rPr>
          <t xml:space="preserve"> muuntokelpoinen energia, ME (MJ/kg ka)
</t>
        </r>
        <r>
          <rPr>
            <b/>
            <sz val="8"/>
            <color indexed="81"/>
            <rFont val="Tahoma"/>
            <family val="2"/>
          </rPr>
          <t>www.luke.fi</t>
        </r>
        <r>
          <rPr>
            <sz val="8"/>
            <color indexed="81"/>
            <rFont val="Tahoma"/>
            <family val="2"/>
          </rPr>
          <t xml:space="preserve"> /rehutaulukot
Tarvittaessa rehuarvot vakuustodistuksesta tai rehun valmistajan nettisivuilta.</t>
        </r>
      </text>
    </comment>
    <comment ref="I53" authorId="2" shapeId="0" xr:uid="{00000000-0006-0000-0500-00001E000000}">
      <text>
        <r>
          <rPr>
            <sz val="8"/>
            <color indexed="81"/>
            <rFont val="Tahoma"/>
            <family val="2"/>
          </rPr>
          <t>Kuiva-aine (kg ka) kerrottuna energiasisällöllä (MJ/kg ka)</t>
        </r>
      </text>
    </comment>
    <comment ref="C65" authorId="1" shapeId="0" xr:uid="{00000000-0006-0000-0500-00001F000000}">
      <text>
        <r>
          <rPr>
            <b/>
            <sz val="9"/>
            <color indexed="81"/>
            <rFont val="Tahoma"/>
            <family val="2"/>
          </rPr>
          <t>Erotus lasketaan:</t>
        </r>
        <r>
          <rPr>
            <sz val="9"/>
            <color indexed="81"/>
            <rFont val="Tahoma"/>
            <family val="2"/>
          </rPr>
          <t xml:space="preserve">
Ostokorsirehujen käyttö (rivi 28) miinus Ostokorsirehut (eriteltyinä) yhteensä (rivi 54)
</t>
        </r>
        <r>
          <rPr>
            <b/>
            <sz val="9"/>
            <color indexed="81"/>
            <rFont val="Tahoma"/>
            <family val="2"/>
          </rPr>
          <t>Mikäli edellisten erotus on</t>
        </r>
        <r>
          <rPr>
            <sz val="9"/>
            <color indexed="81"/>
            <rFont val="Tahoma"/>
            <family val="2"/>
          </rPr>
          <t xml:space="preserve">
</t>
        </r>
        <r>
          <rPr>
            <b/>
            <sz val="9"/>
            <color indexed="81"/>
            <rFont val="Tahoma"/>
            <family val="2"/>
          </rPr>
          <t>&lt; 0</t>
        </r>
        <r>
          <rPr>
            <sz val="9"/>
            <color indexed="81"/>
            <rFont val="Tahoma"/>
            <family val="2"/>
          </rPr>
          <t xml:space="preserve">, niin </t>
        </r>
        <r>
          <rPr>
            <sz val="9"/>
            <color indexed="10"/>
            <rFont val="Tahoma"/>
            <family val="2"/>
          </rPr>
          <t>tarkista</t>
        </r>
        <r>
          <rPr>
            <sz val="9"/>
            <color indexed="81"/>
            <rFont val="Tahoma"/>
            <family val="2"/>
          </rPr>
          <t xml:space="preserve"> Ostokorsirehujen käyttömäärä (rivi 28) ja Ostokorsirehut (eriteltyinä) (rivit 55-64)
</t>
        </r>
        <r>
          <rPr>
            <b/>
            <sz val="9"/>
            <color indexed="81"/>
            <rFont val="Tahoma"/>
            <family val="2"/>
          </rPr>
          <t>&gt; 0</t>
        </r>
        <r>
          <rPr>
            <sz val="9"/>
            <color indexed="81"/>
            <rFont val="Tahoma"/>
            <family val="2"/>
          </rPr>
          <t>, niin erittelystä erittelemätön ostokorsirehu lasketaan rehuarvoilla 300 g/kg ja 10,5 MJ/kg ka</t>
        </r>
      </text>
    </comment>
    <comment ref="D67" authorId="3" shapeId="0" xr:uid="{00000000-0006-0000-0500-000020000000}">
      <text>
        <r>
          <rPr>
            <sz val="9"/>
            <color indexed="81"/>
            <rFont val="Tahoma"/>
            <family val="2"/>
          </rPr>
          <t>Erittele ruokinnassa käytettävät kivennäiset /vuosi
Nimeä kivennäiset ja merkitse niiden ostomäärät. Kivennäisrehuille ei määritetä kuiva-ainetta ja energiasisältöä.</t>
        </r>
      </text>
    </comment>
    <comment ref="E67" authorId="1" shapeId="0" xr:uid="{00000000-0006-0000-0500-000021000000}">
      <text>
        <r>
          <rPr>
            <sz val="9"/>
            <color indexed="81"/>
            <rFont val="Tahoma"/>
            <family val="2"/>
          </rPr>
          <t>Merkitse ostorehut kokonaismäärinä eli paljonko hankitaan esim. kivennäisiä kg/vuosi koko eläinmäärälle.</t>
        </r>
      </text>
    </comment>
    <comment ref="C79" authorId="1" shapeId="0" xr:uid="{00000000-0006-0000-0500-000022000000}">
      <text>
        <r>
          <rPr>
            <b/>
            <sz val="9"/>
            <color indexed="81"/>
            <rFont val="Tahoma"/>
            <family val="2"/>
          </rPr>
          <t>Erotus lasketaan:</t>
        </r>
        <r>
          <rPr>
            <sz val="9"/>
            <color indexed="81"/>
            <rFont val="Tahoma"/>
            <family val="2"/>
          </rPr>
          <t xml:space="preserve">
Ostokivennäisten käyttö (rivi 26) miinus Ostokivennäiset (eriteltyinä) yhteensä (rivi 68)
</t>
        </r>
        <r>
          <rPr>
            <b/>
            <sz val="9"/>
            <color indexed="81"/>
            <rFont val="Tahoma"/>
            <family val="2"/>
          </rPr>
          <t>Mikäli edellisten erotus on</t>
        </r>
        <r>
          <rPr>
            <sz val="9"/>
            <color indexed="81"/>
            <rFont val="Tahoma"/>
            <family val="2"/>
          </rPr>
          <t xml:space="preserve">
</t>
        </r>
        <r>
          <rPr>
            <b/>
            <sz val="9"/>
            <color indexed="81"/>
            <rFont val="Tahoma"/>
            <family val="2"/>
          </rPr>
          <t>&lt; 0</t>
        </r>
        <r>
          <rPr>
            <sz val="9"/>
            <color indexed="81"/>
            <rFont val="Tahoma"/>
            <family val="2"/>
          </rPr>
          <t xml:space="preserve">, niin </t>
        </r>
        <r>
          <rPr>
            <sz val="9"/>
            <color indexed="10"/>
            <rFont val="Tahoma"/>
            <family val="2"/>
          </rPr>
          <t>tarkista</t>
        </r>
        <r>
          <rPr>
            <sz val="9"/>
            <color indexed="81"/>
            <rFont val="Tahoma"/>
            <family val="2"/>
          </rPr>
          <t xml:space="preserve"> Ostokivennäisten käyttömäärä (rivi 26) ja Ostokivennäiset (eriteltyinä) (rivit 69-78)</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Savonia</author>
  </authors>
  <commentList>
    <comment ref="M5" authorId="0" shapeId="0" xr:uid="{00000000-0006-0000-0600-000001000000}">
      <text>
        <r>
          <rPr>
            <sz val="9"/>
            <color indexed="81"/>
            <rFont val="Tahoma"/>
            <family val="2"/>
          </rPr>
          <t>Rehuanalyysin tulkintaohjeistus, SeiLab</t>
        </r>
      </text>
    </comment>
    <comment ref="N6" authorId="0" shapeId="0" xr:uid="{00000000-0006-0000-0600-000002000000}">
      <text>
        <r>
          <rPr>
            <sz val="9"/>
            <color indexed="81"/>
            <rFont val="Tahoma"/>
            <family val="2"/>
          </rPr>
          <t>Tuore rehu 220–250
Esikuivattu säilörehu:
siilo/auma 250–350
Pyöröpaali 350–450
Torni 300–400</t>
        </r>
      </text>
    </comment>
    <comment ref="O6" authorId="0" shapeId="0" xr:uid="{00000000-0006-0000-0600-000003000000}">
      <text>
        <r>
          <rPr>
            <sz val="9"/>
            <color indexed="81"/>
            <rFont val="Tahoma"/>
            <family val="2"/>
          </rPr>
          <t>Lihanaudat ja lypsylehmät:
680–700
Yli 6 kk:n ikäiset hiehot:
&lt;650
Vasikat, alle 6 kk
&gt;680
Lampaat 680–700</t>
        </r>
      </text>
    </comment>
    <comment ref="P6" authorId="0" shapeId="0" xr:uid="{00000000-0006-0000-0600-000004000000}">
      <text>
        <r>
          <rPr>
            <sz val="9"/>
            <color indexed="81"/>
            <rFont val="Tahoma"/>
            <family val="2"/>
          </rPr>
          <t>Lihanaudat ja lypsylehmät
130–160
Vasikat 140–160
Lampaat 130–170</t>
        </r>
      </text>
    </comment>
    <comment ref="Q6" authorId="0" shapeId="0" xr:uid="{00000000-0006-0000-0600-000005000000}">
      <text>
        <r>
          <rPr>
            <sz val="9"/>
            <color indexed="81"/>
            <rFont val="Tahoma"/>
            <family val="2"/>
          </rPr>
          <t>Min. 25 % kuiva-aine syönnistä</t>
        </r>
      </text>
    </comment>
    <comment ref="R6" authorId="0" shapeId="0" xr:uid="{00000000-0006-0000-0600-000006000000}">
      <text>
        <r>
          <rPr>
            <sz val="9"/>
            <color indexed="81"/>
            <rFont val="Tahoma"/>
            <family val="2"/>
          </rPr>
          <t>Nurmikasvit 80
Palkokasvit 100</t>
        </r>
      </text>
    </comment>
    <comment ref="U6" authorId="0" shapeId="0" xr:uid="{00000000-0006-0000-0600-000007000000}">
      <text>
        <r>
          <rPr>
            <sz val="9"/>
            <color indexed="81"/>
            <rFont val="Tahoma"/>
            <family val="2"/>
          </rPr>
          <t>Pötsimikrobeille riittävä arvo on 0</t>
        </r>
      </text>
    </comment>
    <comment ref="V6" authorId="0" shapeId="0" xr:uid="{00000000-0006-0000-0600-000008000000}">
      <text>
        <r>
          <rPr>
            <sz val="9"/>
            <color indexed="81"/>
            <rFont val="Tahoma"/>
            <family val="2"/>
          </rPr>
          <t>Hyvä= &lt;4,0
Riski = 4,0–4,5
Huono= &gt;4,5</t>
        </r>
      </text>
    </comment>
    <comment ref="W6" authorId="0" shapeId="0" xr:uid="{00000000-0006-0000-0600-000009000000}">
      <text>
        <r>
          <rPr>
            <sz val="9"/>
            <color indexed="81"/>
            <rFont val="Tahoma"/>
            <family val="2"/>
          </rPr>
          <t>Hyvä 60
Riski 60–80
Huono &gt; 80</t>
        </r>
      </text>
    </comment>
    <comment ref="X6" authorId="0" shapeId="0" xr:uid="{00000000-0006-0000-0600-00000A000000}">
      <text>
        <r>
          <rPr>
            <sz val="9"/>
            <color indexed="81"/>
            <rFont val="Tahoma"/>
            <family val="2"/>
          </rPr>
          <t>Hyvä &lt; 400
Kohtalainen &lt; 500–600
Pilaantunut rehu &gt; 600</t>
        </r>
      </text>
    </comment>
    <comment ref="Y6" authorId="0" shapeId="0" xr:uid="{00000000-0006-0000-0600-00000B000000}">
      <text>
        <r>
          <rPr>
            <sz val="9"/>
            <color indexed="81"/>
            <rFont val="Tahoma"/>
            <family val="2"/>
          </rPr>
          <t>Happosäilöntä 35–60
Biologinen säilöntä 50–80</t>
        </r>
      </text>
    </comment>
    <comment ref="Z6" authorId="0" shapeId="0" xr:uid="{00000000-0006-0000-0600-00000C000000}">
      <text>
        <r>
          <rPr>
            <sz val="9"/>
            <color indexed="81"/>
            <rFont val="Tahoma"/>
            <family val="2"/>
          </rPr>
          <t>Hyvä &lt; 20
Riski 20–30
Pilaantunut/huono &gt; 30</t>
        </r>
      </text>
    </comment>
    <comment ref="AA6" authorId="0" shapeId="0" xr:uid="{00000000-0006-0000-0600-00000D000000}">
      <text>
        <r>
          <rPr>
            <sz val="9"/>
            <color indexed="81"/>
            <rFont val="Tahoma"/>
            <family val="2"/>
          </rPr>
          <t>väh. 50 g/kg ka
tavoite 50–150 g/kg ka</t>
        </r>
      </text>
    </comment>
    <comment ref="AB6" authorId="0" shapeId="0" xr:uid="{00000000-0006-0000-0600-00000E000000}">
      <text>
        <r>
          <rPr>
            <sz val="9"/>
            <color indexed="81"/>
            <rFont val="Tahoma"/>
            <family val="2"/>
          </rPr>
          <t>Karkearehujen välinen vaihtelu 95–110 pistettä.
1 indeksipiste nostaa päivä-
syöntiä 0,1 kuiva-ainekiloa.</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Savonia</author>
    <author>pmohanvi</author>
  </authors>
  <commentList>
    <comment ref="O3" authorId="0" shapeId="0" xr:uid="{00000000-0006-0000-0700-000001000000}">
      <text>
        <r>
          <rPr>
            <sz val="9"/>
            <color indexed="81"/>
            <rFont val="Tahoma"/>
            <family val="2"/>
          </rPr>
          <t>Peltoala yhteensä, ha</t>
        </r>
      </text>
    </comment>
    <comment ref="P3" authorId="0" shapeId="0" xr:uid="{00000000-0006-0000-0700-000002000000}">
      <text>
        <r>
          <rPr>
            <sz val="9"/>
            <color indexed="81"/>
            <rFont val="Tahoma"/>
            <family val="2"/>
          </rPr>
          <t>Säilörehun viljelyala yhteensä, ha</t>
        </r>
      </text>
    </comment>
    <comment ref="E4" authorId="1" shapeId="0" xr:uid="{00000000-0006-0000-0700-000003000000}">
      <text>
        <r>
          <rPr>
            <sz val="8"/>
            <color indexed="81"/>
            <rFont val="Tahoma"/>
            <family val="2"/>
          </rPr>
          <t xml:space="preserve">Lehmän, emolehmän ja siitossonnin eläinmääriksi määritetään niiden lukumäärä tilalla keskimäärin vuodessa. 
Uudistushiehon ja lihanaudan eläinmääriksi määritetaan:
   Uudistushieho: </t>
        </r>
        <r>
          <rPr>
            <b/>
            <sz val="8"/>
            <color indexed="81"/>
            <rFont val="Tahoma"/>
            <family val="2"/>
          </rPr>
          <t>Poikineita hiehoja keskimäärin vuodessa</t>
        </r>
        <r>
          <rPr>
            <sz val="8"/>
            <color indexed="81"/>
            <rFont val="Tahoma"/>
            <family val="2"/>
          </rPr>
          <t xml:space="preserve"> 
      (lehmämäärä x uudistus-%)
   Lihanauta: </t>
        </r>
        <r>
          <rPr>
            <b/>
            <sz val="8"/>
            <color indexed="81"/>
            <rFont val="Tahoma"/>
            <family val="2"/>
          </rPr>
          <t>Teuraaksi myytyjä eläimiä keskimäärin vuodessa</t>
        </r>
        <r>
          <rPr>
            <sz val="8"/>
            <color indexed="81"/>
            <rFont val="Tahoma"/>
            <family val="2"/>
          </rPr>
          <t xml:space="preserve">
      (Laskelmassa ei siis käytetä hiehojen ja lihanautojen lukumäärä tilalla keskimäärin vuodessa)</t>
        </r>
      </text>
    </comment>
    <comment ref="F4" authorId="1" shapeId="0" xr:uid="{00000000-0006-0000-0700-000004000000}">
      <text>
        <r>
          <rPr>
            <sz val="8"/>
            <color indexed="81"/>
            <rFont val="Tahoma"/>
            <family val="2"/>
          </rPr>
          <t xml:space="preserve">Määritä tuotantoeläinten keskimääräiset </t>
        </r>
        <r>
          <rPr>
            <u/>
            <sz val="8"/>
            <color indexed="81"/>
            <rFont val="Tahoma"/>
            <family val="2"/>
          </rPr>
          <t>vuosituotokset</t>
        </r>
        <r>
          <rPr>
            <sz val="8"/>
            <color indexed="81"/>
            <rFont val="Tahoma"/>
            <family val="2"/>
          </rPr>
          <t xml:space="preserve">:
 Lehmä: Keskituotos eli </t>
        </r>
        <r>
          <rPr>
            <b/>
            <sz val="8"/>
            <color indexed="81"/>
            <rFont val="Tahoma"/>
            <family val="2"/>
          </rPr>
          <t>kg maitoa vuodessa / lehmä</t>
        </r>
        <r>
          <rPr>
            <sz val="8"/>
            <color indexed="81"/>
            <rFont val="Tahoma"/>
            <family val="2"/>
          </rPr>
          <t xml:space="preserve">
 Emolehmä: Tuotettu </t>
        </r>
        <r>
          <rPr>
            <b/>
            <sz val="8"/>
            <color indexed="81"/>
            <rFont val="Tahoma"/>
            <family val="2"/>
          </rPr>
          <t>pihvivasikoita kpl vuodessa / emolehmä</t>
        </r>
        <r>
          <rPr>
            <sz val="8"/>
            <color indexed="81"/>
            <rFont val="Tahoma"/>
            <family val="2"/>
          </rPr>
          <t xml:space="preserve">
     </t>
        </r>
        <r>
          <rPr>
            <b/>
            <sz val="8"/>
            <color indexed="81"/>
            <rFont val="Tahoma"/>
            <family val="2"/>
          </rPr>
          <t xml:space="preserve"> Pihvivasikan tuotanto:</t>
        </r>
        <r>
          <rPr>
            <sz val="8"/>
            <color indexed="81"/>
            <rFont val="Tahoma"/>
            <family val="2"/>
          </rPr>
          <t xml:space="preserve"> Määritä pihvivasikan keskihinta sivulla </t>
        </r>
        <r>
          <rPr>
            <i/>
            <sz val="8"/>
            <color indexed="81"/>
            <rFont val="Tahoma"/>
            <family val="2"/>
          </rPr>
          <t>Emolehmän tuotantokustannus</t>
        </r>
        <r>
          <rPr>
            <sz val="8"/>
            <color indexed="81"/>
            <rFont val="Tahoma"/>
            <family val="2"/>
          </rPr>
          <t xml:space="preserve">
      </t>
        </r>
        <r>
          <rPr>
            <b/>
            <sz val="8"/>
            <color indexed="81"/>
            <rFont val="Tahoma"/>
            <family val="2"/>
          </rPr>
          <t>Yhdistelmätuotanto:</t>
        </r>
        <r>
          <rPr>
            <sz val="8"/>
            <color indexed="81"/>
            <rFont val="Tahoma"/>
            <family val="2"/>
          </rPr>
          <t xml:space="preserve"> Määritä tuotettu (myyty) teuraseläimiä kpl ja keskimääräinen teuraspaino-kg
      rivillä 5-6: Lihasonni ja lihahieho
Määritä kasvatuseläinten tuotokset </t>
        </r>
        <r>
          <rPr>
            <u/>
            <sz val="8"/>
            <color indexed="81"/>
            <rFont val="Tahoma"/>
            <family val="2"/>
          </rPr>
          <t>kasvatusajalle</t>
        </r>
        <r>
          <rPr>
            <sz val="8"/>
            <color indexed="81"/>
            <rFont val="Tahoma"/>
            <family val="2"/>
          </rPr>
          <t xml:space="preserve">:
 Hieho (uudistus): </t>
        </r>
        <r>
          <rPr>
            <b/>
            <sz val="8"/>
            <color indexed="81"/>
            <rFont val="Tahoma"/>
            <family val="2"/>
          </rPr>
          <t>Uudistushiehon tuotos on 1</t>
        </r>
        <r>
          <rPr>
            <sz val="8"/>
            <color indexed="81"/>
            <rFont val="Tahoma"/>
            <family val="2"/>
          </rPr>
          <t xml:space="preserve">, joka tarkoittaa, että hiehon kasvatusaikana on tuotettu yksi poikiva hieho.
      Uudistushiehon hinnan voit tarvittaessa määrittää sivulla </t>
        </r>
        <r>
          <rPr>
            <i/>
            <sz val="8"/>
            <color indexed="81"/>
            <rFont val="Tahoma"/>
            <family val="2"/>
          </rPr>
          <t>Maidon tai Emolehmän tuotantokustannus</t>
        </r>
        <r>
          <rPr>
            <sz val="8"/>
            <color indexed="81"/>
            <rFont val="Tahoma"/>
            <family val="2"/>
          </rPr>
          <t xml:space="preserve">
 Lihanauta: Keskimääräinen teuraspaino eli </t>
        </r>
        <r>
          <rPr>
            <b/>
            <sz val="8"/>
            <color indexed="81"/>
            <rFont val="Tahoma"/>
            <family val="2"/>
          </rPr>
          <t>kg lihaa kasvatusaikana / lihanauta</t>
        </r>
        <r>
          <rPr>
            <sz val="8"/>
            <color indexed="81"/>
            <rFont val="Tahoma"/>
            <family val="2"/>
          </rPr>
          <t xml:space="preserve">
</t>
        </r>
      </text>
    </comment>
    <comment ref="G4" authorId="0" shapeId="0" xr:uid="{00000000-0006-0000-0700-000005000000}">
      <text>
        <r>
          <rPr>
            <b/>
            <sz val="9"/>
            <color indexed="81"/>
            <rFont val="Tahoma"/>
            <family val="2"/>
          </rPr>
          <t>Muuta tarvittaessa tuotosta</t>
        </r>
        <r>
          <rPr>
            <sz val="9"/>
            <color indexed="81"/>
            <rFont val="Tahoma"/>
            <family val="2"/>
          </rPr>
          <t xml:space="preserve"> siten, että Tuotanto yhteensä vuodessa vastaa käytäntöä.</t>
        </r>
      </text>
    </comment>
    <comment ref="I15" authorId="1" shapeId="0" xr:uid="{00000000-0006-0000-0700-000006000000}">
      <text>
        <r>
          <rPr>
            <sz val="8"/>
            <color indexed="81"/>
            <rFont val="Tahoma"/>
            <family val="2"/>
          </rPr>
          <t>MJ-sato (MJ/ha) kerrottuna viljelyalalla</t>
        </r>
      </text>
    </comment>
    <comment ref="Q22" authorId="0" shapeId="0" xr:uid="{00000000-0006-0000-0700-000007000000}">
      <text>
        <r>
          <rPr>
            <sz val="9"/>
            <color indexed="81"/>
            <rFont val="Tahoma"/>
            <family val="2"/>
          </rPr>
          <t>Liikepääomaprosentti on mallilaskelmista (tuottopuntari.fi)
Liikepääomaprosentti kertoo kuinka pitkäksi aikaa pääoma (tuotantopanokset + palkkavaatimus) keskimäärin sitoutuu tuotantoon.
Esim. 50 % tarkoittaa, että pääoma sitoutuu tuotantoon keskimäärin puoleksi vuodeksi.</t>
        </r>
      </text>
    </comment>
    <comment ref="D27" authorId="0" shapeId="0" xr:uid="{00000000-0006-0000-0700-000008000000}">
      <text>
        <r>
          <rPr>
            <sz val="9"/>
            <color indexed="81"/>
            <rFont val="Tahoma"/>
            <family val="2"/>
          </rPr>
          <t>Tee erittely alla olevaan taulukkoon!</t>
        </r>
      </text>
    </comment>
    <comment ref="D28" authorId="0" shapeId="0" xr:uid="{00000000-0006-0000-0700-000009000000}">
      <text>
        <r>
          <rPr>
            <sz val="9"/>
            <color indexed="81"/>
            <rFont val="Tahoma"/>
            <family val="2"/>
          </rPr>
          <t>Tee erittely alla olevaan taulukkoon!</t>
        </r>
      </text>
    </comment>
    <comment ref="D29" authorId="0" shapeId="0" xr:uid="{00000000-0006-0000-0700-00000A000000}">
      <text>
        <r>
          <rPr>
            <sz val="9"/>
            <color indexed="81"/>
            <rFont val="Tahoma"/>
            <family val="2"/>
          </rPr>
          <t>Tee erittely alla olevaan taulukkoon!</t>
        </r>
      </text>
    </comment>
    <comment ref="L30" authorId="0" shapeId="0" xr:uid="{EC703D5F-D1E6-49D9-9EF2-3EE8F91C8F1A}">
      <text>
        <r>
          <rPr>
            <sz val="9"/>
            <color indexed="81"/>
            <rFont val="Tahoma"/>
            <family val="2"/>
          </rPr>
          <t xml:space="preserve">Määritä </t>
        </r>
        <r>
          <rPr>
            <b/>
            <sz val="9"/>
            <color indexed="81"/>
            <rFont val="Tahoma"/>
            <family val="2"/>
          </rPr>
          <t>rehuntuotannon</t>
        </r>
        <r>
          <rPr>
            <sz val="9"/>
            <color indexed="81"/>
            <rFont val="Tahoma"/>
            <family val="2"/>
          </rPr>
          <t xml:space="preserve"> kone- ja rakennuspääoma </t>
        </r>
        <r>
          <rPr>
            <i/>
            <sz val="9"/>
            <color indexed="81"/>
            <rFont val="Tahoma"/>
            <family val="2"/>
          </rPr>
          <t>Lähtötiedot</t>
        </r>
        <r>
          <rPr>
            <sz val="9"/>
            <color indexed="81"/>
            <rFont val="Tahoma"/>
            <family val="2"/>
          </rPr>
          <t xml:space="preserve">-sivulla, jonka perusteella lasketaan kiinteät kustannukset: Poisto, korko ja kunnossapito.
Laskelmassa on oletuksena, että poistojen määrä on sama kuin keskimääräiset kone- ja rakennushankinnat vuodessa. 
Kun koneiden ja rakennusten vuosipoisto on sama kuin keskimääräiset hankinnat vuodessa, niin pääoma pysyy samana! Kehittävällä tilalla käytännössä lisääntyvät kone- ja rakennushankinnat voivat ylittää laskennalliset poistot, mutta tällä laskentatavalla uudet rakennusinvestoinnit näkyvät suoraan kiinteiden kustannusten kasvuna. 
Määritä käyttöaika koneille ja rakennuksille lähtötiedoissa siten, että laskelmassa huomioidaan aikaisemmin tehdyt investoinnit. 
Esim. ajosilppuri on hankittu 15 vuotta sitten ja investointia varten otetusta lainasta on edelleen osa maksamatta: Määritä koneiden ja kaluston käyttöajaksi 15 vuotta ja laske rakennusinvestoinnit yhteensä 15 vuodelta mukaan lukien ajosilppuri.
Kone- ja rakennuspääoman oletetaan olevan sama kuin käyttöajan kone- ja rakennushankintojen yhteismäärä.
</t>
        </r>
      </text>
    </comment>
    <comment ref="Q31" authorId="0" shapeId="0" xr:uid="{00000000-0006-0000-0700-00000C000000}">
      <text>
        <r>
          <rPr>
            <sz val="9"/>
            <color indexed="81"/>
            <rFont val="Tahoma"/>
            <family val="2"/>
          </rPr>
          <t>Koneiden ja laitteiden keskimääräinen kunnossapitoprosentti hankintahinnasta
(vertailulaskelmissa 3%)</t>
        </r>
      </text>
    </comment>
    <comment ref="Q32" authorId="0" shapeId="0" xr:uid="{00000000-0006-0000-0700-00000D000000}">
      <text>
        <r>
          <rPr>
            <sz val="9"/>
            <color indexed="81"/>
            <rFont val="Tahoma"/>
            <family val="2"/>
          </rPr>
          <t>Rakennusten keskimääräinen kunnossapitoprosentti hankintahinnasta
(vertailulaskelmissa 1%)</t>
        </r>
      </text>
    </comment>
    <comment ref="K33" authorId="0" shapeId="0" xr:uid="{00000000-0006-0000-0700-00000E000000}">
      <text>
        <r>
          <rPr>
            <sz val="9"/>
            <color indexed="81"/>
            <rFont val="Tahoma"/>
            <family val="2"/>
          </rPr>
          <t xml:space="preserve">Kirjanpidosta: Koneiden ja laitteiden sekä rakennusten huolto- ja kunnossapitomenot, €/vuosi
</t>
        </r>
        <r>
          <rPr>
            <b/>
            <sz val="9"/>
            <color indexed="81"/>
            <rFont val="Tahoma"/>
            <family val="2"/>
          </rPr>
          <t>tai</t>
        </r>
        <r>
          <rPr>
            <sz val="9"/>
            <color indexed="81"/>
            <rFont val="Tahoma"/>
            <family val="2"/>
          </rPr>
          <t xml:space="preserve"> 
Arvio: Kone - ja rakennuspääoma kertaa kp-% (Q33)</t>
        </r>
      </text>
    </comment>
    <comment ref="Q33" authorId="0" shapeId="0" xr:uid="{00000000-0006-0000-0700-00000F000000}">
      <text>
        <r>
          <rPr>
            <sz val="9"/>
            <color indexed="81"/>
            <rFont val="Tahoma"/>
            <family val="2"/>
          </rPr>
          <t>Tähän on laskettu arvio koneiden ja laitteiden sekä rakennusten kunnossapitokustannuksista, €/ha
Muuta tarvittaessa kunnossapitoprosentteja (kp-%) edellisissä kohdissa</t>
        </r>
      </text>
    </comment>
    <comment ref="Q34" authorId="0" shapeId="0" xr:uid="{00000000-0006-0000-0700-000010000000}">
      <text>
        <r>
          <rPr>
            <sz val="9"/>
            <color indexed="81"/>
            <rFont val="Tahoma"/>
            <family val="2"/>
          </rPr>
          <t>Keskimääräinen pääoman korko (vertailulaskelmissa 5
%)</t>
        </r>
      </text>
    </comment>
    <comment ref="Q35" authorId="0" shapeId="0" xr:uid="{00000000-0006-0000-0700-000011000000}">
      <text>
        <r>
          <rPr>
            <sz val="9"/>
            <color indexed="81"/>
            <rFont val="Tahoma"/>
            <family val="2"/>
          </rPr>
          <t xml:space="preserve">Yleiskustannusten osuus on keskimäärin 10% liikevaihdosta (tuotot + tuet) </t>
        </r>
      </text>
    </comment>
    <comment ref="W39" authorId="0" shapeId="0" xr:uid="{00000000-0006-0000-0700-000012000000}">
      <text>
        <r>
          <rPr>
            <sz val="9"/>
            <color indexed="81"/>
            <rFont val="Tahoma"/>
            <family val="2"/>
          </rPr>
          <t>Tuet snt / kg ka</t>
        </r>
      </text>
    </comment>
    <comment ref="Y39" authorId="0" shapeId="0" xr:uid="{00000000-0006-0000-0700-000013000000}">
      <text>
        <r>
          <rPr>
            <sz val="9"/>
            <color indexed="81"/>
            <rFont val="Tahoma"/>
            <family val="2"/>
          </rPr>
          <t>Tuet snt / kg ka</t>
        </r>
      </text>
    </comment>
    <comment ref="AA39" authorId="0" shapeId="0" xr:uid="{00000000-0006-0000-0700-000014000000}">
      <text>
        <r>
          <rPr>
            <sz val="9"/>
            <color indexed="81"/>
            <rFont val="Tahoma"/>
            <family val="2"/>
          </rPr>
          <t>Tuet snt / kg ka</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pmohanvi</author>
    <author>Savonia</author>
  </authors>
  <commentList>
    <comment ref="E4" authorId="0" shapeId="0" xr:uid="{00000000-0006-0000-0800-000001000000}">
      <text>
        <r>
          <rPr>
            <sz val="8"/>
            <color indexed="81"/>
            <rFont val="Tahoma"/>
            <family val="2"/>
          </rPr>
          <t xml:space="preserve">Lehmän, emolehmän ja siitossonnin eläinmääriksi määritetään niiden lukumäärä tilalla keskimäärin vuodessa. 
Uudistushiehon ja lihanaudan eläinmääriksi määritetaan:
   Uudistushieho: </t>
        </r>
        <r>
          <rPr>
            <b/>
            <sz val="8"/>
            <color indexed="81"/>
            <rFont val="Tahoma"/>
            <family val="2"/>
          </rPr>
          <t>Poikineita hiehoja keskimäärin vuodessa</t>
        </r>
        <r>
          <rPr>
            <sz val="8"/>
            <color indexed="81"/>
            <rFont val="Tahoma"/>
            <family val="2"/>
          </rPr>
          <t xml:space="preserve"> 
      (lehmämäärä x uudistus-%)
   Lihanauta: </t>
        </r>
        <r>
          <rPr>
            <b/>
            <sz val="8"/>
            <color indexed="81"/>
            <rFont val="Tahoma"/>
            <family val="2"/>
          </rPr>
          <t>Teuraaksi myytyjä eläimiä keskimäärin vuodessa</t>
        </r>
        <r>
          <rPr>
            <sz val="8"/>
            <color indexed="81"/>
            <rFont val="Tahoma"/>
            <family val="2"/>
          </rPr>
          <t xml:space="preserve">
      (Laskelmassa ei siis käytetä hiehojen ja lihanautojen lukumäärä tilalla keskimäärin vuodessa)</t>
        </r>
      </text>
    </comment>
    <comment ref="F4" authorId="0" shapeId="0" xr:uid="{00000000-0006-0000-0800-000002000000}">
      <text>
        <r>
          <rPr>
            <sz val="8"/>
            <color indexed="81"/>
            <rFont val="Tahoma"/>
            <family val="2"/>
          </rPr>
          <t xml:space="preserve">Määritä tuotantoeläinten keskimääräiset </t>
        </r>
        <r>
          <rPr>
            <u/>
            <sz val="8"/>
            <color indexed="81"/>
            <rFont val="Tahoma"/>
            <family val="2"/>
          </rPr>
          <t>vuosituotokset</t>
        </r>
        <r>
          <rPr>
            <sz val="8"/>
            <color indexed="81"/>
            <rFont val="Tahoma"/>
            <family val="2"/>
          </rPr>
          <t xml:space="preserve">:
 Lehmä: Keskituotos eli </t>
        </r>
        <r>
          <rPr>
            <b/>
            <sz val="8"/>
            <color indexed="81"/>
            <rFont val="Tahoma"/>
            <family val="2"/>
          </rPr>
          <t>kg maitoa vuodessa / lehmä</t>
        </r>
        <r>
          <rPr>
            <sz val="8"/>
            <color indexed="81"/>
            <rFont val="Tahoma"/>
            <family val="2"/>
          </rPr>
          <t xml:space="preserve">
 Emolehmä: Tuotettu </t>
        </r>
        <r>
          <rPr>
            <b/>
            <sz val="8"/>
            <color indexed="81"/>
            <rFont val="Tahoma"/>
            <family val="2"/>
          </rPr>
          <t>pihvivasikoita kpl vuodessa / emolehmä</t>
        </r>
        <r>
          <rPr>
            <sz val="8"/>
            <color indexed="81"/>
            <rFont val="Tahoma"/>
            <family val="2"/>
          </rPr>
          <t xml:space="preserve">
     </t>
        </r>
        <r>
          <rPr>
            <b/>
            <sz val="8"/>
            <color indexed="81"/>
            <rFont val="Tahoma"/>
            <family val="2"/>
          </rPr>
          <t xml:space="preserve"> Pihvivasikan tuotanto:</t>
        </r>
        <r>
          <rPr>
            <sz val="8"/>
            <color indexed="81"/>
            <rFont val="Tahoma"/>
            <family val="2"/>
          </rPr>
          <t xml:space="preserve"> Määritä pihvivasikan keskihinta sivulla </t>
        </r>
        <r>
          <rPr>
            <i/>
            <sz val="8"/>
            <color indexed="81"/>
            <rFont val="Tahoma"/>
            <family val="2"/>
          </rPr>
          <t>Emolehmän tuotantokustannus</t>
        </r>
        <r>
          <rPr>
            <sz val="8"/>
            <color indexed="81"/>
            <rFont val="Tahoma"/>
            <family val="2"/>
          </rPr>
          <t xml:space="preserve">
      </t>
        </r>
        <r>
          <rPr>
            <b/>
            <sz val="8"/>
            <color indexed="81"/>
            <rFont val="Tahoma"/>
            <family val="2"/>
          </rPr>
          <t>Yhdistelmätuotanto:</t>
        </r>
        <r>
          <rPr>
            <sz val="8"/>
            <color indexed="81"/>
            <rFont val="Tahoma"/>
            <family val="2"/>
          </rPr>
          <t xml:space="preserve"> Määritä tuotettu (myyty) teuraseläimiä kpl ja keskimääräinen teuraspaino-kg
      rivillä 5-6: Lihasonni ja lihahieho
Määritä kasvatuseläinten tuotokset </t>
        </r>
        <r>
          <rPr>
            <u/>
            <sz val="8"/>
            <color indexed="81"/>
            <rFont val="Tahoma"/>
            <family val="2"/>
          </rPr>
          <t>kasvatusajalle</t>
        </r>
        <r>
          <rPr>
            <sz val="8"/>
            <color indexed="81"/>
            <rFont val="Tahoma"/>
            <family val="2"/>
          </rPr>
          <t xml:space="preserve">:
 Hieho (uudistus): </t>
        </r>
        <r>
          <rPr>
            <b/>
            <sz val="8"/>
            <color indexed="81"/>
            <rFont val="Tahoma"/>
            <family val="2"/>
          </rPr>
          <t>Uudistushiehon tuotos on 1</t>
        </r>
        <r>
          <rPr>
            <sz val="8"/>
            <color indexed="81"/>
            <rFont val="Tahoma"/>
            <family val="2"/>
          </rPr>
          <t xml:space="preserve">, joka tarkoittaa, että hiehon kasvatusaikana on tuotettu yksi poikiva hieho.
      Uudistushiehon hinnan voit tarvittaessa määrittää sivulla </t>
        </r>
        <r>
          <rPr>
            <i/>
            <sz val="8"/>
            <color indexed="81"/>
            <rFont val="Tahoma"/>
            <family val="2"/>
          </rPr>
          <t>Maidon tai Emolehmän tuotantokustannus</t>
        </r>
        <r>
          <rPr>
            <sz val="8"/>
            <color indexed="81"/>
            <rFont val="Tahoma"/>
            <family val="2"/>
          </rPr>
          <t xml:space="preserve">
 Lihanauta: Keskimääräinen teuraspaino eli </t>
        </r>
        <r>
          <rPr>
            <b/>
            <sz val="8"/>
            <color indexed="81"/>
            <rFont val="Tahoma"/>
            <family val="2"/>
          </rPr>
          <t>kg lihaa kasvatusaikana / lihanauta</t>
        </r>
        <r>
          <rPr>
            <sz val="8"/>
            <color indexed="81"/>
            <rFont val="Tahoma"/>
            <family val="2"/>
          </rPr>
          <t xml:space="preserve">
</t>
        </r>
      </text>
    </comment>
    <comment ref="G4" authorId="1" shapeId="0" xr:uid="{00000000-0006-0000-0800-000003000000}">
      <text>
        <r>
          <rPr>
            <b/>
            <sz val="9"/>
            <color indexed="81"/>
            <rFont val="Tahoma"/>
            <family val="2"/>
          </rPr>
          <t>Muuta tarvittaessa tuotosta</t>
        </r>
        <r>
          <rPr>
            <sz val="9"/>
            <color indexed="81"/>
            <rFont val="Tahoma"/>
            <family val="2"/>
          </rPr>
          <t xml:space="preserve"> siten, että Tuotanto yhteensä vuodessa vastaa käytäntöä.</t>
        </r>
      </text>
    </comment>
    <comment ref="K7" authorId="1" shapeId="0" xr:uid="{00000000-0006-0000-0800-000004000000}">
      <text>
        <r>
          <rPr>
            <sz val="9"/>
            <color indexed="81"/>
            <rFont val="Tahoma"/>
            <family val="2"/>
          </rPr>
          <t>Esim. poistolehmän ja siitossonnin myynti, €/vuosi</t>
        </r>
      </text>
    </comment>
    <comment ref="M13" authorId="1" shapeId="0" xr:uid="{00000000-0006-0000-0800-000005000000}">
      <text>
        <r>
          <rPr>
            <b/>
            <sz val="9"/>
            <color indexed="81"/>
            <rFont val="Tahoma"/>
            <family val="2"/>
          </rPr>
          <t>Rehujen hintana käytetään  tuotantokustannusta miinus peltoviljelyn tuet</t>
        </r>
        <r>
          <rPr>
            <sz val="9"/>
            <color indexed="81"/>
            <rFont val="Tahoma"/>
            <family val="2"/>
          </rPr>
          <t xml:space="preserve">
Voit kokeilla laskelmassa tuotantokustannuksen sijaan markkinahintaa ja vertailla muutosta tuotantokustannushintaan.
-&gt; Tallenna testiversio eri nimellä!
Vertailu paljastaa rehuntuotannon kalleuden / edullisuuden.
</t>
        </r>
        <r>
          <rPr>
            <b/>
            <sz val="9"/>
            <color indexed="81"/>
            <rFont val="Tahoma"/>
            <family val="2"/>
          </rPr>
          <t xml:space="preserve">Huom! </t>
        </r>
        <r>
          <rPr>
            <sz val="9"/>
            <color indexed="81"/>
            <rFont val="Tahoma"/>
            <family val="2"/>
          </rPr>
          <t>Luomutuotannossa tai laajaperäisessä viljelyssä tuotantokustannus miinus tuet voi olla miinusmerkkinen eli tukien osuus on suurempi kuin tuotannosta aiheutuu kustannuksia, jolloin kyseinen rehukustannuskin on miinusmerkkinen.</t>
        </r>
      </text>
    </comment>
    <comment ref="I15" authorId="0" shapeId="0" xr:uid="{00000000-0006-0000-0800-000006000000}">
      <text>
        <r>
          <rPr>
            <sz val="8"/>
            <color indexed="81"/>
            <rFont val="Tahoma"/>
            <family val="2"/>
          </rPr>
          <t>MJ-sato (MJ/ha) kerrottuna viljelyalalla</t>
        </r>
      </text>
    </comment>
    <comment ref="D27" authorId="1" shapeId="0" xr:uid="{00000000-0006-0000-0800-000007000000}">
      <text>
        <r>
          <rPr>
            <sz val="9"/>
            <color indexed="81"/>
            <rFont val="Tahoma"/>
            <family val="2"/>
          </rPr>
          <t>Tee erittely alla olevaan taulukkoon!</t>
        </r>
      </text>
    </comment>
    <comment ref="Q27" authorId="1" shapeId="0" xr:uid="{00000000-0006-0000-0800-000008000000}">
      <text>
        <r>
          <rPr>
            <sz val="9"/>
            <color indexed="81"/>
            <rFont val="Tahoma"/>
            <family val="2"/>
          </rPr>
          <t>Uudistushiehon keskimääräinen markkinahinta</t>
        </r>
      </text>
    </comment>
    <comment ref="D28" authorId="1" shapeId="0" xr:uid="{00000000-0006-0000-0800-000009000000}">
      <text>
        <r>
          <rPr>
            <sz val="9"/>
            <color indexed="81"/>
            <rFont val="Tahoma"/>
            <family val="2"/>
          </rPr>
          <t>Tee erittely alla olevaan taulukkoon!</t>
        </r>
      </text>
    </comment>
    <comment ref="Q28" authorId="1" shapeId="0" xr:uid="{00000000-0006-0000-0800-00000A000000}">
      <text>
        <r>
          <rPr>
            <sz val="9"/>
            <color indexed="81"/>
            <rFont val="Tahoma"/>
            <family val="2"/>
          </rPr>
          <t>Liikepääomaprosentti on mallilaskelmista (tuottopuntari.fi)
Liikepääomaprosentti kertoo kuinka pitkäksi aikaa pääoma (tuotantopanokset + palkkavaatimus) keskimäärin sitoutuu tuotantoon.
Esim. 50 % tarkoittaa, että pääoma sitoutuu tuotantoon keskimäärin puoleksi vuodeksi.</t>
        </r>
      </text>
    </comment>
    <comment ref="D29" authorId="1" shapeId="0" xr:uid="{00000000-0006-0000-0800-00000B000000}">
      <text>
        <r>
          <rPr>
            <sz val="9"/>
            <color indexed="81"/>
            <rFont val="Tahoma"/>
            <family val="2"/>
          </rPr>
          <t>Tee erittely alla olevaan taulukkoon!</t>
        </r>
      </text>
    </comment>
    <comment ref="L30" authorId="1" shapeId="0" xr:uid="{00000000-0006-0000-0800-00000C000000}">
      <text>
        <r>
          <rPr>
            <sz val="9"/>
            <color indexed="81"/>
            <rFont val="Tahoma"/>
            <family val="2"/>
          </rPr>
          <t>Kotieläintuotannon työtunteja keskimäärin / päivä</t>
        </r>
      </text>
    </comment>
    <comment ref="L35" authorId="1" shapeId="0" xr:uid="{00000000-0006-0000-0800-00000D000000}">
      <text>
        <r>
          <rPr>
            <sz val="9"/>
            <color indexed="81"/>
            <rFont val="Tahoma"/>
            <family val="2"/>
          </rPr>
          <t xml:space="preserve">Määritä </t>
        </r>
        <r>
          <rPr>
            <b/>
            <sz val="9"/>
            <color indexed="81"/>
            <rFont val="Tahoma"/>
            <family val="2"/>
          </rPr>
          <t>kotieläintuotannon</t>
        </r>
        <r>
          <rPr>
            <sz val="9"/>
            <color indexed="81"/>
            <rFont val="Tahoma"/>
            <family val="2"/>
          </rPr>
          <t xml:space="preserve"> kone- ja rakennuspääoma </t>
        </r>
        <r>
          <rPr>
            <i/>
            <sz val="9"/>
            <color indexed="81"/>
            <rFont val="Tahoma"/>
            <family val="2"/>
          </rPr>
          <t>Lähtötiedot</t>
        </r>
        <r>
          <rPr>
            <sz val="9"/>
            <color indexed="81"/>
            <rFont val="Tahoma"/>
            <family val="2"/>
          </rPr>
          <t xml:space="preserve">-sivulla, jonka perusteella lasketaan kiinteät kustannukset: Poisto, korko ja kunnossapito.
Laskelmassa on oletuksena, että poistojen määrä on sama kuin keskimääräiset kone- ja rakennushankinnat vuodessa. 
Kun koneiden ja rakennusten vuosipoisto on sama kuin keskimääräiset hankinnat vuodessa, niin pääoma pysyy samana! Kehittävällä tilalla käytännössä lisääntyvät kone- ja rakennushankinnat voivat ylittää laskennalliset poistot, mutta tällä laskentatavalla uudet rakennusinvestoinnit näkyvät suoraan kiinteiden kustannusten kasvuna. 
Määritä käyttöaika koneille ja rakennuksille lähtötiedoissa siten, että laskelmassa huomioidaan aikaisemmin tehdyt investoinnit. 
Esim. navetta on rakennettu 20 vuotta sitten ja investointia varten otetusta lainasta on edelleen osa maksamatta: Määritä navetan käyttöajaksi 20 vuotta ja laske rakennusinvestoinnit yhteensä 20 vuodelta mukaan lukien navetta.
Kone- ja rakennuspääoman oletetaan olevan sama kuin käyttöajan kone- ja rakennushankintojen yhteismäärä. 
</t>
        </r>
      </text>
    </comment>
    <comment ref="Q36" authorId="1" shapeId="0" xr:uid="{00000000-0006-0000-0800-00000E000000}">
      <text>
        <r>
          <rPr>
            <sz val="9"/>
            <color indexed="81"/>
            <rFont val="Tahoma"/>
            <family val="2"/>
          </rPr>
          <t>Koneiden ja laitteiden keskimääräinen kunnossapitoprosentti hankintahinnasta
(vertailulaskelmissa 3%)</t>
        </r>
      </text>
    </comment>
    <comment ref="Q37" authorId="1" shapeId="0" xr:uid="{00000000-0006-0000-0800-00000F000000}">
      <text>
        <r>
          <rPr>
            <sz val="9"/>
            <color indexed="81"/>
            <rFont val="Tahoma"/>
            <family val="2"/>
          </rPr>
          <t>Rakennusten keskimääräinen kunnossapitoprosentti hankintahinnasta
(vertailulaskelmissa 1%)</t>
        </r>
      </text>
    </comment>
    <comment ref="K38" authorId="1" shapeId="0" xr:uid="{00000000-0006-0000-0800-000010000000}">
      <text>
        <r>
          <rPr>
            <sz val="9"/>
            <color indexed="81"/>
            <rFont val="Tahoma"/>
            <family val="2"/>
          </rPr>
          <t xml:space="preserve">Kirjanpidosta: Koneiden ja laitteiden sekä rakennusten huolto- ja kunnossapitomenot, €/vuosi
</t>
        </r>
        <r>
          <rPr>
            <b/>
            <sz val="9"/>
            <color indexed="81"/>
            <rFont val="Tahoma"/>
            <family val="2"/>
          </rPr>
          <t>tai</t>
        </r>
        <r>
          <rPr>
            <sz val="9"/>
            <color indexed="81"/>
            <rFont val="Tahoma"/>
            <family val="2"/>
          </rPr>
          <t xml:space="preserve"> 
Arvio: Kone - ja rakennuspääoma kertaa kp-% (Q33)</t>
        </r>
      </text>
    </comment>
    <comment ref="Q38" authorId="1" shapeId="0" xr:uid="{00000000-0006-0000-0800-000011000000}">
      <text>
        <r>
          <rPr>
            <sz val="9"/>
            <color indexed="81"/>
            <rFont val="Tahoma"/>
            <family val="2"/>
          </rPr>
          <t>Tähän on laskettu arvio koneiden ja laitteiden sekä rakennusten kunnossapitokustannuksista, €/ha
Muuta tarvittaessa kunnossapitoprosentteja (kp-%) edellisissä kohdissa</t>
        </r>
      </text>
    </comment>
    <comment ref="Q39" authorId="1" shapeId="0" xr:uid="{00000000-0006-0000-0800-000012000000}">
      <text>
        <r>
          <rPr>
            <sz val="9"/>
            <color indexed="81"/>
            <rFont val="Tahoma"/>
            <family val="2"/>
          </rPr>
          <t>Keskimääräinen pääoman korko (vertailulaskelmissa 5
%)</t>
        </r>
      </text>
    </comment>
    <comment ref="K40" authorId="1" shapeId="0" xr:uid="{00000000-0006-0000-0800-000013000000}">
      <text>
        <r>
          <rPr>
            <sz val="9"/>
            <color indexed="81"/>
            <rFont val="Tahoma"/>
            <family val="2"/>
          </rPr>
          <t>Yleiskustannus on arvioitu:
Liikevaihto (tuotot + tuet) x 6%*
   *muuta prosenttia tarvittaessa kohdassa Q40
Yleiskustannus tarkoittaa kaikkia niitä tuotantoon liittyviä kustannuksia, joita ei ole laskettu edellä muuttuviin, työ tai kiinteisiin kustannuksiin.
Yleiskustannuksia ovat esimerkiksi: Myel ja Mata, sähkö, vesi, jäte, puhelin ym.</t>
        </r>
      </text>
    </comment>
    <comment ref="Q40" authorId="1" shapeId="0" xr:uid="{00000000-0006-0000-0800-000014000000}">
      <text>
        <r>
          <rPr>
            <sz val="9"/>
            <color indexed="81"/>
            <rFont val="Tahoma"/>
            <family val="2"/>
          </rPr>
          <t xml:space="preserve">Yleiskustannusten osuus on keskimäärin 6% liikevaihdosta (tuotot + tuet) </t>
        </r>
      </text>
    </comment>
    <comment ref="N42" authorId="1" shapeId="0" xr:uid="{00000000-0006-0000-0800-000015000000}">
      <text>
        <r>
          <rPr>
            <sz val="9"/>
            <color indexed="81"/>
            <rFont val="Tahoma"/>
            <family val="2"/>
          </rPr>
          <t>Kaikki emolehmäntuotannosta aiheutuneet kustannukset yhteensä €/emolehmä/vuosi</t>
        </r>
      </text>
    </comment>
    <comment ref="N43" authorId="1" shapeId="0" xr:uid="{00000000-0006-0000-0800-000016000000}">
      <text>
        <r>
          <rPr>
            <sz val="9"/>
            <color indexed="81"/>
            <rFont val="Tahoma"/>
            <family val="2"/>
          </rPr>
          <t>Tässä oletetaan, että muiden tuottojen tuottamiseen on käytetty saman verran kustannuksia, kuin niistä on aiheutunut tuottoja</t>
        </r>
      </text>
    </comment>
    <comment ref="Q43" authorId="1" shapeId="0" xr:uid="{00000000-0006-0000-0800-000017000000}">
      <text>
        <r>
          <rPr>
            <sz val="9"/>
            <color indexed="81"/>
            <rFont val="Tahoma"/>
            <family val="2"/>
          </rPr>
          <t>Muiden tuottojen tuottamisesta aiheutuvien kustannusten prosenttiosuus 
(= muiden tuottojen osuus tuotoista)</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pmohanvi</author>
    <author>Savonia</author>
  </authors>
  <commentList>
    <comment ref="E4" authorId="0" shapeId="0" xr:uid="{00000000-0006-0000-0900-000001000000}">
      <text>
        <r>
          <rPr>
            <sz val="8"/>
            <color indexed="81"/>
            <rFont val="Tahoma"/>
            <family val="2"/>
          </rPr>
          <t xml:space="preserve">Lehmän, emolehmän ja siitossonnin eläinmääriksi määritetään niiden lukumäärä tilalla keskimäärin vuodessa. 
Uudistushiehon ja lihanaudan eläinmääriksi määritetaan:
   Uudistushieho: </t>
        </r>
        <r>
          <rPr>
            <b/>
            <sz val="8"/>
            <color indexed="81"/>
            <rFont val="Tahoma"/>
            <family val="2"/>
          </rPr>
          <t>Poikineita hiehoja keskimäärin vuodessa</t>
        </r>
        <r>
          <rPr>
            <sz val="8"/>
            <color indexed="81"/>
            <rFont val="Tahoma"/>
            <family val="2"/>
          </rPr>
          <t xml:space="preserve"> 
      (lehmämäärä x uudistus-%)
   Lihanauta: </t>
        </r>
        <r>
          <rPr>
            <b/>
            <sz val="8"/>
            <color indexed="81"/>
            <rFont val="Tahoma"/>
            <family val="2"/>
          </rPr>
          <t>Teuraaksi myytyjä eläimiä keskimäärin vuodessa</t>
        </r>
        <r>
          <rPr>
            <sz val="8"/>
            <color indexed="81"/>
            <rFont val="Tahoma"/>
            <family val="2"/>
          </rPr>
          <t xml:space="preserve">
      (Laskelmassa ei siis käytetä hiehojen ja lihanautojen lukumäärä tilalla keskimäärin vuodessa)</t>
        </r>
      </text>
    </comment>
    <comment ref="F4" authorId="0" shapeId="0" xr:uid="{00000000-0006-0000-0900-000002000000}">
      <text>
        <r>
          <rPr>
            <sz val="8"/>
            <color indexed="81"/>
            <rFont val="Tahoma"/>
            <family val="2"/>
          </rPr>
          <t xml:space="preserve">Määritä tuotantoeläinten keskimääräiset </t>
        </r>
        <r>
          <rPr>
            <u/>
            <sz val="8"/>
            <color indexed="81"/>
            <rFont val="Tahoma"/>
            <family val="2"/>
          </rPr>
          <t>vuosituotokset</t>
        </r>
        <r>
          <rPr>
            <sz val="8"/>
            <color indexed="81"/>
            <rFont val="Tahoma"/>
            <family val="2"/>
          </rPr>
          <t xml:space="preserve">:
 Lehmä: Keskituotos eli </t>
        </r>
        <r>
          <rPr>
            <b/>
            <sz val="8"/>
            <color indexed="81"/>
            <rFont val="Tahoma"/>
            <family val="2"/>
          </rPr>
          <t>kg maitoa vuodessa / lehmä</t>
        </r>
        <r>
          <rPr>
            <sz val="8"/>
            <color indexed="81"/>
            <rFont val="Tahoma"/>
            <family val="2"/>
          </rPr>
          <t xml:space="preserve">
 Emolehmä: Tuotettu </t>
        </r>
        <r>
          <rPr>
            <b/>
            <sz val="8"/>
            <color indexed="81"/>
            <rFont val="Tahoma"/>
            <family val="2"/>
          </rPr>
          <t>pihvivasikoita kpl vuodessa / emolehmä</t>
        </r>
        <r>
          <rPr>
            <sz val="8"/>
            <color indexed="81"/>
            <rFont val="Tahoma"/>
            <family val="2"/>
          </rPr>
          <t xml:space="preserve">
     </t>
        </r>
        <r>
          <rPr>
            <b/>
            <sz val="8"/>
            <color indexed="81"/>
            <rFont val="Tahoma"/>
            <family val="2"/>
          </rPr>
          <t xml:space="preserve"> Pihvivasikan tuotanto:</t>
        </r>
        <r>
          <rPr>
            <sz val="8"/>
            <color indexed="81"/>
            <rFont val="Tahoma"/>
            <family val="2"/>
          </rPr>
          <t xml:space="preserve"> Määritä pihvivasikan keskihinta sivulla </t>
        </r>
        <r>
          <rPr>
            <i/>
            <sz val="8"/>
            <color indexed="81"/>
            <rFont val="Tahoma"/>
            <family val="2"/>
          </rPr>
          <t>Emolehmän tuotantokustannus</t>
        </r>
        <r>
          <rPr>
            <sz val="8"/>
            <color indexed="81"/>
            <rFont val="Tahoma"/>
            <family val="2"/>
          </rPr>
          <t xml:space="preserve">
      </t>
        </r>
        <r>
          <rPr>
            <b/>
            <sz val="8"/>
            <color indexed="81"/>
            <rFont val="Tahoma"/>
            <family val="2"/>
          </rPr>
          <t>Yhdistelmätuotanto:</t>
        </r>
        <r>
          <rPr>
            <sz val="8"/>
            <color indexed="81"/>
            <rFont val="Tahoma"/>
            <family val="2"/>
          </rPr>
          <t xml:space="preserve"> Määritä tuotettu (myyty) teuraseläimiä kpl ja keskimääräinen teuraspaino-kg
      rivillä 5-6: Lihasonni ja lihahieho
Määritä kasvatuseläinten tuotokset </t>
        </r>
        <r>
          <rPr>
            <u/>
            <sz val="8"/>
            <color indexed="81"/>
            <rFont val="Tahoma"/>
            <family val="2"/>
          </rPr>
          <t>kasvatusajalle</t>
        </r>
        <r>
          <rPr>
            <sz val="8"/>
            <color indexed="81"/>
            <rFont val="Tahoma"/>
            <family val="2"/>
          </rPr>
          <t xml:space="preserve">:
 Hieho (uudistus): </t>
        </r>
        <r>
          <rPr>
            <b/>
            <sz val="8"/>
            <color indexed="81"/>
            <rFont val="Tahoma"/>
            <family val="2"/>
          </rPr>
          <t>Uudistushiehon tuotos on 1</t>
        </r>
        <r>
          <rPr>
            <sz val="8"/>
            <color indexed="81"/>
            <rFont val="Tahoma"/>
            <family val="2"/>
          </rPr>
          <t xml:space="preserve">, joka tarkoittaa, että hiehon kasvatusaikana on tuotettu yksi poikiva hieho.
      Uudistushiehon hinnan voit tarvittaessa määrittää sivulla </t>
        </r>
        <r>
          <rPr>
            <i/>
            <sz val="8"/>
            <color indexed="81"/>
            <rFont val="Tahoma"/>
            <family val="2"/>
          </rPr>
          <t>Maidon tai Emolehmän tuotantokustannus</t>
        </r>
        <r>
          <rPr>
            <sz val="8"/>
            <color indexed="81"/>
            <rFont val="Tahoma"/>
            <family val="2"/>
          </rPr>
          <t xml:space="preserve">
 Lihanauta: Keskimääräinen teuraspaino eli </t>
        </r>
        <r>
          <rPr>
            <b/>
            <sz val="8"/>
            <color indexed="81"/>
            <rFont val="Tahoma"/>
            <family val="2"/>
          </rPr>
          <t>kg lihaa kasvatusaikana / lihanauta</t>
        </r>
        <r>
          <rPr>
            <sz val="8"/>
            <color indexed="81"/>
            <rFont val="Tahoma"/>
            <family val="2"/>
          </rPr>
          <t xml:space="preserve">
</t>
        </r>
      </text>
    </comment>
    <comment ref="G4" authorId="1" shapeId="0" xr:uid="{00000000-0006-0000-0900-000003000000}">
      <text>
        <r>
          <rPr>
            <b/>
            <sz val="9"/>
            <color indexed="81"/>
            <rFont val="Tahoma"/>
            <family val="2"/>
          </rPr>
          <t>Muuta tarvittaessa tuotosta</t>
        </r>
        <r>
          <rPr>
            <sz val="9"/>
            <color indexed="81"/>
            <rFont val="Tahoma"/>
            <family val="2"/>
          </rPr>
          <t xml:space="preserve"> siten, että Tuotanto yhteensä vuodessa vastaa käytäntöä.</t>
        </r>
      </text>
    </comment>
    <comment ref="K7" authorId="1" shapeId="0" xr:uid="{00000000-0006-0000-0900-000004000000}">
      <text>
        <r>
          <rPr>
            <sz val="9"/>
            <color indexed="81"/>
            <rFont val="Tahoma"/>
            <family val="2"/>
          </rPr>
          <t>Esim. poistolehmän ja siitossonnin myynti, €/vuosi</t>
        </r>
      </text>
    </comment>
    <comment ref="M13" authorId="1" shapeId="0" xr:uid="{00000000-0006-0000-0900-000005000000}">
      <text>
        <r>
          <rPr>
            <b/>
            <sz val="9"/>
            <color indexed="81"/>
            <rFont val="Tahoma"/>
            <family val="2"/>
          </rPr>
          <t>Rehujen hintana käytetään  tuotantokustannusta miinus peltoviljelyn tuet</t>
        </r>
        <r>
          <rPr>
            <sz val="9"/>
            <color indexed="81"/>
            <rFont val="Tahoma"/>
            <family val="2"/>
          </rPr>
          <t xml:space="preserve">
Voit kokeilla laskelmassa tuotantokustannuksen sijaan markkinahintaa ja vertailla muutosta tuotantokustannushintaan.
-&gt; Tallenna testiversio eri nimellä!
Vertailu paljastaa rehuntuotannon kalleuden / edullisuuden.
</t>
        </r>
        <r>
          <rPr>
            <b/>
            <sz val="9"/>
            <color indexed="81"/>
            <rFont val="Tahoma"/>
            <family val="2"/>
          </rPr>
          <t xml:space="preserve">Huom! </t>
        </r>
        <r>
          <rPr>
            <sz val="9"/>
            <color indexed="81"/>
            <rFont val="Tahoma"/>
            <family val="2"/>
          </rPr>
          <t>Luomutuotannossa tai laajaperäisessä viljelyssä tuotantokustannus miinus tuet voi olla miinusmerkkinen eli tukien osuus on suurempi kuin tuotannosta aiheutuu kustannuksia, jolloin kyseinen rehukustannuskin on miinusmerkkinen.</t>
        </r>
      </text>
    </comment>
    <comment ref="I15" authorId="0" shapeId="0" xr:uid="{00000000-0006-0000-0900-000006000000}">
      <text>
        <r>
          <rPr>
            <sz val="8"/>
            <color indexed="81"/>
            <rFont val="Tahoma"/>
            <family val="2"/>
          </rPr>
          <t>MJ-sato (MJ/ha) kerrottuna viljelyalalla</t>
        </r>
      </text>
    </comment>
    <comment ref="D27" authorId="1" shapeId="0" xr:uid="{00000000-0006-0000-0900-000007000000}">
      <text>
        <r>
          <rPr>
            <sz val="9"/>
            <color indexed="81"/>
            <rFont val="Tahoma"/>
            <family val="2"/>
          </rPr>
          <t>Tee erittely alla olevaan taulukkoon!</t>
        </r>
      </text>
    </comment>
    <comment ref="Q27" authorId="1" shapeId="0" xr:uid="{00000000-0006-0000-0900-000008000000}">
      <text>
        <r>
          <rPr>
            <sz val="9"/>
            <color indexed="81"/>
            <rFont val="Tahoma"/>
            <family val="2"/>
          </rPr>
          <t>Uudistushiehon keskimääräinen markkinahinta</t>
        </r>
      </text>
    </comment>
    <comment ref="D28" authorId="1" shapeId="0" xr:uid="{00000000-0006-0000-0900-000009000000}">
      <text>
        <r>
          <rPr>
            <sz val="9"/>
            <color indexed="81"/>
            <rFont val="Tahoma"/>
            <family val="2"/>
          </rPr>
          <t>Tee erittely alla olevaan taulukkoon!</t>
        </r>
      </text>
    </comment>
    <comment ref="Q28" authorId="1" shapeId="0" xr:uid="{00000000-0006-0000-0900-00000A000000}">
      <text>
        <r>
          <rPr>
            <sz val="9"/>
            <color indexed="81"/>
            <rFont val="Tahoma"/>
            <family val="2"/>
          </rPr>
          <t>Liikepääomaprosentti on mallilaskelmista (tuottopuntari.fi)
Liikepääomaprosentti kertoo kuinka pitkäksi aikaa pääoma (tuotantopanokset + palkkavaatimus) keskimäärin sitoutuu tuotantoon.
Esim. 50 % tarkoittaa, että pääoma sitoutuu tuotantoon keskimäärin puoleksi vuodeksi.</t>
        </r>
      </text>
    </comment>
    <comment ref="D29" authorId="1" shapeId="0" xr:uid="{00000000-0006-0000-0900-00000B000000}">
      <text>
        <r>
          <rPr>
            <sz val="9"/>
            <color indexed="81"/>
            <rFont val="Tahoma"/>
            <family val="2"/>
          </rPr>
          <t>Tee erittely alla olevaan taulukkoon!</t>
        </r>
      </text>
    </comment>
    <comment ref="L30" authorId="1" shapeId="0" xr:uid="{00000000-0006-0000-0900-00000C000000}">
      <text>
        <r>
          <rPr>
            <sz val="9"/>
            <color indexed="81"/>
            <rFont val="Tahoma"/>
            <family val="2"/>
          </rPr>
          <t>Kotieläintuotannon työtunteja keskimäärin / päivä</t>
        </r>
      </text>
    </comment>
    <comment ref="L35" authorId="1" shapeId="0" xr:uid="{80AD2439-D9E6-4A85-85E9-71E15BA7A89F}">
      <text>
        <r>
          <rPr>
            <sz val="9"/>
            <color indexed="81"/>
            <rFont val="Tahoma"/>
            <family val="2"/>
          </rPr>
          <t xml:space="preserve">Määritä </t>
        </r>
        <r>
          <rPr>
            <b/>
            <sz val="9"/>
            <color indexed="81"/>
            <rFont val="Tahoma"/>
            <family val="2"/>
          </rPr>
          <t>kotieläintuotannon</t>
        </r>
        <r>
          <rPr>
            <sz val="9"/>
            <color indexed="81"/>
            <rFont val="Tahoma"/>
            <family val="2"/>
          </rPr>
          <t xml:space="preserve"> kone- ja rakennuspääoma </t>
        </r>
        <r>
          <rPr>
            <i/>
            <sz val="9"/>
            <color indexed="81"/>
            <rFont val="Tahoma"/>
            <family val="2"/>
          </rPr>
          <t>Lähtötiedot</t>
        </r>
        <r>
          <rPr>
            <sz val="9"/>
            <color indexed="81"/>
            <rFont val="Tahoma"/>
            <family val="2"/>
          </rPr>
          <t xml:space="preserve">-sivulla, jonka perusteella lasketaan kiinteät kustannukset: Poisto, korko ja kunnossapito.
Laskelmassa on oletuksena, että poistojen määrä on sama kuin keskimääräiset kone- ja rakennushankinnat vuodessa. 
Kun koneiden ja rakennusten vuosipoisto on sama kuin keskimääräiset hankinnat vuodessa, niin pääoma pysyy samana! Kehittävällä tilalla käytännössä lisääntyvät kone- ja rakennushankinnat voivat ylittää laskennalliset poistot, mutta tällä laskentatavalla uudet rakennusinvestoinnit näkyvät suoraan kiinteiden kustannusten kasvuna. 
Määritä käyttöaika koneille ja rakennuksille lähtötiedoissa siten, että laskelmassa huomioidaan aikaisemmin tehdyt investoinnit. 
Esim. navetta on rakennettu 20 vuotta sitten ja investointia varten otetusta lainasta on edelleen osa maksamatta: Määritä navetan käyttöajaksi 20 vuotta ja laske rakennusinvestoinnit yhteensä 20 vuodelta mukaan lukien navetta.
Kone- ja rakennuspääoman oletetaan olevan sama kuin käyttöajan kone- ja rakennushankintojen yhteismäärä. 
</t>
        </r>
      </text>
    </comment>
    <comment ref="Q36" authorId="1" shapeId="0" xr:uid="{00000000-0006-0000-0900-00000E000000}">
      <text>
        <r>
          <rPr>
            <sz val="9"/>
            <color indexed="81"/>
            <rFont val="Tahoma"/>
            <family val="2"/>
          </rPr>
          <t>Koneiden ja laitteiden keskimääräinen kunnossapitoprosentti hankintahinnasta
(vertailulaskelmissa 3%)</t>
        </r>
      </text>
    </comment>
    <comment ref="Q37" authorId="1" shapeId="0" xr:uid="{00000000-0006-0000-0900-00000F000000}">
      <text>
        <r>
          <rPr>
            <sz val="9"/>
            <color indexed="81"/>
            <rFont val="Tahoma"/>
            <family val="2"/>
          </rPr>
          <t>Rakennusten keskimääräinen kunnossapitoprosentti hankintahinnasta
(vertailulaskelmissa 1%)</t>
        </r>
      </text>
    </comment>
    <comment ref="K38" authorId="1" shapeId="0" xr:uid="{00000000-0006-0000-0900-000010000000}">
      <text>
        <r>
          <rPr>
            <sz val="9"/>
            <color indexed="81"/>
            <rFont val="Tahoma"/>
            <family val="2"/>
          </rPr>
          <t xml:space="preserve">Kirjanpidosta: Koneiden ja laitteiden sekä rakennusten huolto- ja kunnossapitomenot, €/vuosi
</t>
        </r>
        <r>
          <rPr>
            <b/>
            <sz val="9"/>
            <color indexed="81"/>
            <rFont val="Tahoma"/>
            <family val="2"/>
          </rPr>
          <t>tai</t>
        </r>
        <r>
          <rPr>
            <sz val="9"/>
            <color indexed="81"/>
            <rFont val="Tahoma"/>
            <family val="2"/>
          </rPr>
          <t xml:space="preserve"> 
Arvio: Kone - ja rakennuspääoma kertaa kp-% (Q33)</t>
        </r>
      </text>
    </comment>
    <comment ref="Q38" authorId="1" shapeId="0" xr:uid="{00000000-0006-0000-0900-000011000000}">
      <text>
        <r>
          <rPr>
            <sz val="9"/>
            <color indexed="81"/>
            <rFont val="Tahoma"/>
            <family val="2"/>
          </rPr>
          <t>Tähän on laskettu arvio koneiden ja laitteiden sekä rakennusten kunnossapitokustannuksista, €/ha
Muuta tarvittaessa kunnossapitoprosentteja (kp-%) edellisissä kohdissa</t>
        </r>
      </text>
    </comment>
    <comment ref="Q39" authorId="1" shapeId="0" xr:uid="{00000000-0006-0000-0900-000012000000}">
      <text>
        <r>
          <rPr>
            <sz val="9"/>
            <color indexed="81"/>
            <rFont val="Tahoma"/>
            <family val="2"/>
          </rPr>
          <t>Keskimääräinen pääoman korko (vertailulaskelmissa 5
%)</t>
        </r>
      </text>
    </comment>
    <comment ref="K40" authorId="1" shapeId="0" xr:uid="{00000000-0006-0000-0900-000013000000}">
      <text>
        <r>
          <rPr>
            <sz val="9"/>
            <color indexed="81"/>
            <rFont val="Tahoma"/>
            <family val="2"/>
          </rPr>
          <t>Yleiskustannus on arvioitu:
Liikevaihto (tuotot + tuet) x 6%*
   *muuta prosenttia tarvittaessa kohdassa Q40
Yleiskustannus tarkoittaa kaikkia niitä tuotantoon liittyviä kustannuksia, joita ei ole laskettu edellä muuttuviin, työ tai kiinteisiin kustannuksiin.
Yleiskustannuksia ovat esimerkiksi: Myel ja Mata, sähkö, vesi, jäte, puhelin ym.</t>
        </r>
      </text>
    </comment>
    <comment ref="Q40" authorId="1" shapeId="0" xr:uid="{00000000-0006-0000-0900-000014000000}">
      <text>
        <r>
          <rPr>
            <sz val="9"/>
            <color indexed="81"/>
            <rFont val="Tahoma"/>
            <family val="2"/>
          </rPr>
          <t xml:space="preserve">Yleiskustannusten osuus on keskimäärin 6% liikevaihdosta (tuotot + tuet) </t>
        </r>
      </text>
    </comment>
    <comment ref="N42" authorId="1" shapeId="0" xr:uid="{00000000-0006-0000-0900-000015000000}">
      <text>
        <r>
          <rPr>
            <sz val="9"/>
            <color indexed="81"/>
            <rFont val="Tahoma"/>
            <family val="2"/>
          </rPr>
          <t>Kaikki emolehmäntuotannosta aiheutuneet kustannukset yhteensä €/emolehmä/vuosi</t>
        </r>
      </text>
    </comment>
    <comment ref="N43" authorId="1" shapeId="0" xr:uid="{00000000-0006-0000-0900-000016000000}">
      <text>
        <r>
          <rPr>
            <sz val="9"/>
            <color indexed="81"/>
            <rFont val="Tahoma"/>
            <family val="2"/>
          </rPr>
          <t>Tässä oletetaan, että muiden tuottojen tuottamiseen on käytetty saman verran kustannuksia, kuin niistä on aiheutunut tuottoja</t>
        </r>
      </text>
    </comment>
    <comment ref="Q43" authorId="1" shapeId="0" xr:uid="{00000000-0006-0000-0900-000017000000}">
      <text>
        <r>
          <rPr>
            <sz val="9"/>
            <color indexed="81"/>
            <rFont val="Tahoma"/>
            <family val="2"/>
          </rPr>
          <t>Muiden tuottojen tuottamisesta aiheutuvien kustannusten prosenttiosuus 
(= muiden tuottojen osuus tuotoista)</t>
        </r>
      </text>
    </comment>
  </commentList>
</comments>
</file>

<file path=xl/sharedStrings.xml><?xml version="1.0" encoding="utf-8"?>
<sst xmlns="http://schemas.openxmlformats.org/spreadsheetml/2006/main" count="3270" uniqueCount="781">
  <si>
    <t>Kotieläintuotanto</t>
  </si>
  <si>
    <t>Tuotanto yht. vuodessa</t>
  </si>
  <si>
    <t>Energiantarve yhteensä, MJ</t>
  </si>
  <si>
    <t>Emolehmä</t>
  </si>
  <si>
    <t>Lihasonni</t>
  </si>
  <si>
    <t>Lihahieho</t>
  </si>
  <si>
    <t>ha</t>
  </si>
  <si>
    <t>Rehun-tuotanto</t>
  </si>
  <si>
    <t>yht. MJ</t>
  </si>
  <si>
    <t>Säilörehu</t>
  </si>
  <si>
    <t>Rehuvilja</t>
  </si>
  <si>
    <t>säilörehun nettosato</t>
  </si>
  <si>
    <t>Vertailussa muihin tiloihin</t>
  </si>
  <si>
    <t>huono</t>
  </si>
  <si>
    <t>Muu peltoala</t>
  </si>
  <si>
    <t>alhainen</t>
  </si>
  <si>
    <t>Peltoala yhteensä</t>
  </si>
  <si>
    <t>keskimääräinen</t>
  </si>
  <si>
    <t>hyvä</t>
  </si>
  <si>
    <t>kg/vuosi</t>
  </si>
  <si>
    <t>€/vuosi</t>
  </si>
  <si>
    <t>€/kg</t>
  </si>
  <si>
    <t>MJ</t>
  </si>
  <si>
    <t>Säilörehun tuotantokustannus</t>
  </si>
  <si>
    <t>parhaan neljänneksen</t>
  </si>
  <si>
    <t>€/kg ka</t>
  </si>
  <si>
    <t>erinomainen</t>
  </si>
  <si>
    <t>kg ka/vuosi</t>
  </si>
  <si>
    <t>Rehumyynnit</t>
  </si>
  <si>
    <t>kohtalainen</t>
  </si>
  <si>
    <t>normaalia korkeampi</t>
  </si>
  <si>
    <t>Rehumyynnit yhteensä</t>
  </si>
  <si>
    <t>erittäin suuri</t>
  </si>
  <si>
    <t>Rehun tuotanto + ostorehut - rehumyynnit</t>
  </si>
  <si>
    <t>Kotieläintuotannon kustannukset</t>
  </si>
  <si>
    <t>Muuttuvat kustannukset</t>
  </si>
  <si>
    <t>Kotoiset rehut</t>
  </si>
  <si>
    <t>Tuotanto yht. kg ka</t>
  </si>
  <si>
    <t>osuus, %</t>
  </si>
  <si>
    <t>snt/kg</t>
  </si>
  <si>
    <t>Oma laskelma</t>
  </si>
  <si>
    <t>Hyvä</t>
  </si>
  <si>
    <t>Erinomainen</t>
  </si>
  <si>
    <t>%-osuus</t>
  </si>
  <si>
    <t>kg ka</t>
  </si>
  <si>
    <t>Kuivaheinä</t>
  </si>
  <si>
    <t>Laidun</t>
  </si>
  <si>
    <t>Ostorehut</t>
  </si>
  <si>
    <t>Kokoviljasäilörehu</t>
  </si>
  <si>
    <t>Kuivikkeet</t>
  </si>
  <si>
    <t>Muut muuttuvat kustannukset</t>
  </si>
  <si>
    <t>Eläinten ostot</t>
  </si>
  <si>
    <t>Eläinpääoman korko</t>
  </si>
  <si>
    <t>Liikepääoman korko</t>
  </si>
  <si>
    <t>Työkustannus</t>
  </si>
  <si>
    <t>Työtunteja/pv</t>
  </si>
  <si>
    <t>Yrittäjäperhe</t>
  </si>
  <si>
    <t>Käyttö yht. kg/vuosi</t>
  </si>
  <si>
    <t>Kuiva-aine
g/kg</t>
  </si>
  <si>
    <t>Kuiva-ainetta yht. kg ka</t>
  </si>
  <si>
    <t>ME</t>
  </si>
  <si>
    <t>Palkkatyö</t>
  </si>
  <si>
    <t>Palkkatyökustannus</t>
  </si>
  <si>
    <t>Kiinteät kustannukset</t>
  </si>
  <si>
    <t>Investoinnit</t>
  </si>
  <si>
    <t>15 vuoden inv.</t>
  </si>
  <si>
    <t xml:space="preserve">   Koneet</t>
  </si>
  <si>
    <t>Konepoistot</t>
  </si>
  <si>
    <t xml:space="preserve">   Rakennukset</t>
  </si>
  <si>
    <t>Rakennuspoistot</t>
  </si>
  <si>
    <t>Ostokorsirehut yhteensä</t>
  </si>
  <si>
    <t>Huolto ja kunnossapito</t>
  </si>
  <si>
    <t>Kivennäiset</t>
  </si>
  <si>
    <t>Korko</t>
  </si>
  <si>
    <t>Yleiskustannus</t>
  </si>
  <si>
    <t>€</t>
  </si>
  <si>
    <t>osuus</t>
  </si>
  <si>
    <t>Tuotot</t>
  </si>
  <si>
    <t>Maito</t>
  </si>
  <si>
    <t>kpl</t>
  </si>
  <si>
    <t>kg</t>
  </si>
  <si>
    <t>Tuotot yhteensä</t>
  </si>
  <si>
    <t>€/eläin</t>
  </si>
  <si>
    <t xml:space="preserve">Tuotantokustannus yhteensä </t>
  </si>
  <si>
    <t>Eläinmäärä 
kpl</t>
  </si>
  <si>
    <t>keskituotos kg/lehmä</t>
  </si>
  <si>
    <t>Tuotanto yht.
litraa/vuosi</t>
  </si>
  <si>
    <t>Myynti
litraa/vuosi</t>
  </si>
  <si>
    <t>Muu käyttö
litraa/vuosi</t>
  </si>
  <si>
    <t>Muun käytön osuus</t>
  </si>
  <si>
    <t>Karjan keskim. elopaino, kg</t>
  </si>
  <si>
    <t>Maidon 
rasva-%</t>
  </si>
  <si>
    <t>Ruokinta-pv/vuosi</t>
  </si>
  <si>
    <t>Uudistus</t>
  </si>
  <si>
    <t>EKM, kg/vuosi</t>
  </si>
  <si>
    <t>Säilörehun D, lypsävät</t>
  </si>
  <si>
    <t>Säilörehun RV g/kg ka</t>
  </si>
  <si>
    <t>Rypsin osuus</t>
  </si>
  <si>
    <t>Väkirehun osuus</t>
  </si>
  <si>
    <t>Umpilehmien  säilörehun ME</t>
  </si>
  <si>
    <t>Umpilehmien väkirehuosuus</t>
  </si>
  <si>
    <t>Poikivia hiehoja/vuosi</t>
  </si>
  <si>
    <t>Alku-
elopaino, kg</t>
  </si>
  <si>
    <t>Loppu-elopaino, kg</t>
  </si>
  <si>
    <t>Kasvatus-
aika, kk</t>
  </si>
  <si>
    <t>Kasvatus-
aika, pv</t>
  </si>
  <si>
    <t>Kasvu, g/pv</t>
  </si>
  <si>
    <t>Maitoa, kg/v</t>
  </si>
  <si>
    <t>Kunto-luokan muutos</t>
  </si>
  <si>
    <t>Uudistus-%</t>
  </si>
  <si>
    <t>Teuraseläin-
määrä, kpl</t>
  </si>
  <si>
    <t>Loppu-
elopaino, kg</t>
  </si>
  <si>
    <t>Maitotuotos</t>
  </si>
  <si>
    <t>rasva %</t>
  </si>
  <si>
    <t>valk %</t>
  </si>
  <si>
    <t>Rehuntarve</t>
  </si>
  <si>
    <t>Elopaino</t>
  </si>
  <si>
    <t>Sr D, lypsävät</t>
  </si>
  <si>
    <t>Tuotoskausi</t>
  </si>
  <si>
    <t>Umpikausi</t>
  </si>
  <si>
    <t>yhteensä</t>
  </si>
  <si>
    <t>Sr RV</t>
  </si>
  <si>
    <t>g/kg ka</t>
  </si>
  <si>
    <t>Säilörehua</t>
  </si>
  <si>
    <t>tn ka/vuosi</t>
  </si>
  <si>
    <t>Rypsi osuus</t>
  </si>
  <si>
    <t>Viljaa</t>
  </si>
  <si>
    <t>Vrosuus</t>
  </si>
  <si>
    <t>Rypsirouhe</t>
  </si>
  <si>
    <t>Lehmäluku</t>
  </si>
  <si>
    <t>uudistusprosentti</t>
  </si>
  <si>
    <t>Lisäksi umppareille vakiomäärä olkea 2,5 kg/pv</t>
  </si>
  <si>
    <t>MJ ME</t>
  </si>
  <si>
    <t>Umpilehmien dieetin ME</t>
  </si>
  <si>
    <t>koko umpikautta kohti</t>
  </si>
  <si>
    <t>LYPSYLEHMÄT</t>
  </si>
  <si>
    <t>Tilalla ei kasvateta uudistukseen tarvittavien hiehojen lisäksi muita eläimiä</t>
  </si>
  <si>
    <t>TUOTOS</t>
  </si>
  <si>
    <t>EKM-tuotos/vuosi</t>
  </si>
  <si>
    <t>RUOKINTA</t>
  </si>
  <si>
    <t>hiehojen poikimaiäksi vakioitu 2.2 v</t>
  </si>
  <si>
    <t>Poistoikä</t>
  </si>
  <si>
    <t>SrMe</t>
  </si>
  <si>
    <t>tuotospäiviä/vuosi</t>
  </si>
  <si>
    <t>Ohra ME</t>
  </si>
  <si>
    <t>EKM kg/pv</t>
  </si>
  <si>
    <t>Rypsi ME</t>
  </si>
  <si>
    <t>Maitoa kg/tuotospäivä</t>
  </si>
  <si>
    <t>Ohra RV</t>
  </si>
  <si>
    <t>ME-TARVE</t>
  </si>
  <si>
    <t>Rypsi RV</t>
  </si>
  <si>
    <t xml:space="preserve">ME-tarve tuotokseen </t>
  </si>
  <si>
    <t>Vr ME</t>
  </si>
  <si>
    <t>ME-tarve ylläpitoon</t>
  </si>
  <si>
    <t>VrRv</t>
  </si>
  <si>
    <t>ME-tarve elopainon muutokseen</t>
  </si>
  <si>
    <t>ME-tarve yhteensä tuotospäivä</t>
  </si>
  <si>
    <t>Medieetti</t>
  </si>
  <si>
    <t>korjaamaton energiapitoisuus</t>
  </si>
  <si>
    <t>kivennäisten osuus 1.5 % kuiva-ainesyönnistä</t>
  </si>
  <si>
    <t>ME-tarve tuotantokaudelle</t>
  </si>
  <si>
    <t>Rvdieetti</t>
  </si>
  <si>
    <t>Ruokinta</t>
  </si>
  <si>
    <t>Dieetin ME-pit. (korjattu)</t>
  </si>
  <si>
    <t>Syöntimäärä</t>
  </si>
  <si>
    <t>ME int tau</t>
  </si>
  <si>
    <t>MJME/pv</t>
  </si>
  <si>
    <t xml:space="preserve">Kuiva-ainesyönti </t>
  </si>
  <si>
    <t>discount</t>
  </si>
  <si>
    <r>
      <t>Korjattu ME-saanti (MJ/pv) = Korjaamaton ME-saanti (MJ/pv) - (-56,7 + 6,99 × MEyp + 1,621 × ka-syönti - 0,44595 × rv-pit + 0,00112 × rv-pit</t>
    </r>
    <r>
      <rPr>
        <vertAlign val="superscript"/>
        <sz val="11"/>
        <color rgb="FF333333"/>
        <rFont val="Arial"/>
        <family val="2"/>
      </rPr>
      <t>2</t>
    </r>
    <r>
      <rPr>
        <sz val="7"/>
        <color rgb="FF333333"/>
        <rFont val="Arial"/>
        <family val="2"/>
      </rPr>
      <t>)</t>
    </r>
  </si>
  <si>
    <t>kgka/pv</t>
  </si>
  <si>
    <t>Meint kor</t>
  </si>
  <si>
    <t>ME pit kor</t>
  </si>
  <si>
    <t>Rypsirouhetta</t>
  </si>
  <si>
    <t>kgka/tuotoskausi/karja</t>
  </si>
  <si>
    <t>UMMESSA OLEVAT</t>
  </si>
  <si>
    <t>Umpipäiviä</t>
  </si>
  <si>
    <t>Vasikan syntymäpaino</t>
  </si>
  <si>
    <t>Vasikoita per vuosi</t>
  </si>
  <si>
    <t>Riippuu kyllä poikiomavälistä ja uudistusprosentista</t>
  </si>
  <si>
    <t>Ylläpitotarve per umpipäivä</t>
  </si>
  <si>
    <t>MJ ME, 10 % lisäys huntturissa</t>
  </si>
  <si>
    <t>Tiineyden lisätarve</t>
  </si>
  <si>
    <t>MJ ME /tiineys, rehutaulukot</t>
  </si>
  <si>
    <t>Tiineyden lisätarve per umpipäivä</t>
  </si>
  <si>
    <t xml:space="preserve">MJ ME  </t>
  </si>
  <si>
    <t>Energiantarve tot</t>
  </si>
  <si>
    <t>Energiantarve Sr+Vilja</t>
  </si>
  <si>
    <t>Säilörehun ME-pit.</t>
  </si>
  <si>
    <t>Sr + Vilja ME</t>
  </si>
  <si>
    <t>Dieetin rv-pit.</t>
  </si>
  <si>
    <t>g/kgka</t>
  </si>
  <si>
    <t>Syönti sr+vilja</t>
  </si>
  <si>
    <t>kgka /pv</t>
  </si>
  <si>
    <t>kgka /kalenterivuosi/karja</t>
  </si>
  <si>
    <t>Välilukuja</t>
  </si>
  <si>
    <t>Viljaa + rypsirouhe</t>
  </si>
  <si>
    <t>Vilja+Rou ME</t>
  </si>
  <si>
    <t>Olki ME</t>
  </si>
  <si>
    <t>Meint</t>
  </si>
  <si>
    <t>Mediet</t>
  </si>
  <si>
    <t>Olkea</t>
  </si>
  <si>
    <t>kgka/pv. Yksinkertaisuuden vuoksi oletusarvo</t>
  </si>
  <si>
    <t>UUDISELÄIMET</t>
  </si>
  <si>
    <t>0-6 kk</t>
  </si>
  <si>
    <t>6-12 kk</t>
  </si>
  <si>
    <t>yli 12 kk</t>
  </si>
  <si>
    <t>pv</t>
  </si>
  <si>
    <t>vuotta</t>
  </si>
  <si>
    <t>Luokassa viipymisaika, pv</t>
  </si>
  <si>
    <t>0-182</t>
  </si>
  <si>
    <t>183-365</t>
  </si>
  <si>
    <t>366-730</t>
  </si>
  <si>
    <t>Alkupaino</t>
  </si>
  <si>
    <t>Kasvu</t>
  </si>
  <si>
    <t>kg/pv</t>
  </si>
  <si>
    <t>Loppupaino</t>
  </si>
  <si>
    <t>Keskipaino</t>
  </si>
  <si>
    <t>Energian tarve</t>
  </si>
  <si>
    <t>Yli 12 kk sisältää tiineyden lisätarpeen jaettuna luokan kaikille päiville</t>
  </si>
  <si>
    <t>Dieetin energiapitoisuus</t>
  </si>
  <si>
    <t>Syönti</t>
  </si>
  <si>
    <t>kg ka/pv</t>
  </si>
  <si>
    <t>Väkirehuosuus</t>
  </si>
  <si>
    <t>kgka</t>
  </si>
  <si>
    <t>osuus päivistä</t>
  </si>
  <si>
    <t>keskimääräinen uudishiehon syöntimäärä kalenteripäivää kohti</t>
  </si>
  <si>
    <t>Alle 6 kk vasuille annetaan teollista vasikkarehua, määrää ei sisällytetä tähän laskelmaan</t>
  </si>
  <si>
    <t>Hiehojen määrä</t>
  </si>
  <si>
    <t>kpl/vuosi.</t>
  </si>
  <si>
    <t>Yli 60 pv hiehoja</t>
  </si>
  <si>
    <t>kpl/vuosi. Oletettu 5 % hiehokuolleisuus</t>
  </si>
  <si>
    <t xml:space="preserve"> kgka/pv</t>
  </si>
  <si>
    <t>kgka/v</t>
  </si>
  <si>
    <t>Lähtötiedot</t>
  </si>
  <si>
    <t>hannu.viitala@savonia.fi</t>
  </si>
  <si>
    <t>Hävikki</t>
  </si>
  <si>
    <t>Nettosato</t>
  </si>
  <si>
    <t>€/ha</t>
  </si>
  <si>
    <t>Tarkista pitävätkö lähtötiedot paikkansa!</t>
  </si>
  <si>
    <t>kg ka 
/ ha</t>
  </si>
  <si>
    <t>Säilörehun käytön mukaan laskettu hehtaarisato (netto)</t>
  </si>
  <si>
    <t>säilörehun hävikki</t>
  </si>
  <si>
    <t>Yrittäjäperheen työkust.</t>
  </si>
  <si>
    <t>Johtopäätös: Millä toimenpiteillä kustannusta voidaan alentaa?</t>
  </si>
  <si>
    <t>Laskelmien vertailu (Oma laskelma vrt. Hyvä ja Erinomainen)</t>
  </si>
  <si>
    <t>epärealistisen alhainen</t>
  </si>
  <si>
    <t xml:space="preserve"> -&gt; Säilörehun varastointi- ja ruokintahävikki </t>
  </si>
  <si>
    <t>hyvällä tasolla</t>
  </si>
  <si>
    <t>Bruttosato</t>
  </si>
  <si>
    <t>Vertaile säilörehun tuotantoa ja käyttöä, määritä hävikki</t>
  </si>
  <si>
    <t>Säilörehun</t>
  </si>
  <si>
    <t>D-arvo</t>
  </si>
  <si>
    <t>Laskelmavuosi:</t>
  </si>
  <si>
    <t xml:space="preserve"> </t>
  </si>
  <si>
    <t>Laskelmaversio
ja päiväys:</t>
  </si>
  <si>
    <t>Kuva 2:</t>
  </si>
  <si>
    <t>Tilan nimi:</t>
  </si>
  <si>
    <t>Paikkakunta:</t>
  </si>
  <si>
    <t>Viljelijä(t):</t>
  </si>
  <si>
    <t>Laskelman laatija:</t>
  </si>
  <si>
    <t>Puhelinnumero:</t>
  </si>
  <si>
    <t>Sähköpostiosoite:</t>
  </si>
  <si>
    <t>Tukialue:</t>
  </si>
  <si>
    <t>Tuotantojärjestelmä:</t>
  </si>
  <si>
    <t>Viljelyvyöhyke:</t>
  </si>
  <si>
    <t>Kuva 3:</t>
  </si>
  <si>
    <t>Käyttöohjeet</t>
  </si>
  <si>
    <t>Toimintaohjeet</t>
  </si>
  <si>
    <t>Ohjeet</t>
  </si>
  <si>
    <t>Etusivu</t>
  </si>
  <si>
    <t>Maidon tuotantokustannus</t>
  </si>
  <si>
    <t>Säilöntämuovikustannus</t>
  </si>
  <si>
    <t>Säilöntäainekustannus</t>
  </si>
  <si>
    <t>Kasvinsuojelukustannus</t>
  </si>
  <si>
    <t>Lannoituskustannus</t>
  </si>
  <si>
    <t>Kylvösiemenkustannus</t>
  </si>
  <si>
    <t>Yht. €/vuosi</t>
  </si>
  <si>
    <t>Pellon kustannukset</t>
  </si>
  <si>
    <t>Säilörehusato (nettosato)</t>
  </si>
  <si>
    <t xml:space="preserve">Säilörehun tuet yht. </t>
  </si>
  <si>
    <t xml:space="preserve"> €/vuosi</t>
  </si>
  <si>
    <t>Korjuun urakointikust.</t>
  </si>
  <si>
    <t>Muut  urakointikust.</t>
  </si>
  <si>
    <t>MJ/eläin</t>
  </si>
  <si>
    <t>Rehun käyttö MJ/eläin</t>
  </si>
  <si>
    <t>Emolehmän energian tarve</t>
  </si>
  <si>
    <t>Elopaino, kg</t>
  </si>
  <si>
    <t>Maitoa, 
kg/pv</t>
  </si>
  <si>
    <t>Ruokinta-pv/v</t>
  </si>
  <si>
    <t xml:space="preserve">Tarve/emolehmä/vuosi </t>
  </si>
  <si>
    <t>Energia, MJ ME</t>
  </si>
  <si>
    <t>ylläpito</t>
  </si>
  <si>
    <t>tuotanto</t>
  </si>
  <si>
    <t>tiineys</t>
  </si>
  <si>
    <t>Nettotarve yhteensä</t>
  </si>
  <si>
    <t>Esimerkki</t>
  </si>
  <si>
    <t>Emolehmän energian-</t>
  </si>
  <si>
    <t>tarpeen määrittäminen</t>
  </si>
  <si>
    <t>Luke.fi/rehutaulukot</t>
  </si>
  <si>
    <t>Sonnin (lihantuotanto) energian tarve</t>
  </si>
  <si>
    <t>Alku-elopaino, kg</t>
  </si>
  <si>
    <t>Kasvatus-aika, kk</t>
  </si>
  <si>
    <t>Kasvatus-aika, pv</t>
  </si>
  <si>
    <t>MJ/pv</t>
  </si>
  <si>
    <t>Rotu 
-10%</t>
  </si>
  <si>
    <t>Kytkettynä -10%</t>
  </si>
  <si>
    <t>MJ/
kasvatus-aika</t>
  </si>
  <si>
    <t>Tarve/sonni/kasvatusaika</t>
  </si>
  <si>
    <t>kasvu ja ylläpito</t>
  </si>
  <si>
    <t>Rotu +/-</t>
  </si>
  <si>
    <t>Tarve/hieho/kasvatusaika</t>
  </si>
  <si>
    <t>Sonnin energian-</t>
  </si>
  <si>
    <t>100-150</t>
  </si>
  <si>
    <t>150-200</t>
  </si>
  <si>
    <t>200-250</t>
  </si>
  <si>
    <t>250-300</t>
  </si>
  <si>
    <t>300-350</t>
  </si>
  <si>
    <t>350-400</t>
  </si>
  <si>
    <t>400-450</t>
  </si>
  <si>
    <t>450-500</t>
  </si>
  <si>
    <t>500-550</t>
  </si>
  <si>
    <t>550-600</t>
  </si>
  <si>
    <t>600-650</t>
  </si>
  <si>
    <t>650-700</t>
  </si>
  <si>
    <t>700-750</t>
  </si>
  <si>
    <t>750-800</t>
  </si>
  <si>
    <t>Hiehon (lihantuotanto) energian tarve</t>
  </si>
  <si>
    <t>Hiehon energian-</t>
  </si>
  <si>
    <t>Laskennallinen energiantarve ja rehun käyttö</t>
  </si>
  <si>
    <t>Teuraspaino, kg</t>
  </si>
  <si>
    <t>Teurasp. osuus elop., %</t>
  </si>
  <si>
    <t>Maidon 
valkuais-%</t>
  </si>
  <si>
    <t xml:space="preserve">Rehun käyttö yhteensä, MJ </t>
  </si>
  <si>
    <t>Rehun käyttö 
yhteensä, MJ</t>
  </si>
  <si>
    <r>
      <rPr>
        <b/>
        <sz val="9"/>
        <color theme="1"/>
        <rFont val="Calibri Light"/>
        <family val="2"/>
        <scheme val="major"/>
      </rPr>
      <t>Vapaaruokinta</t>
    </r>
    <r>
      <rPr>
        <sz val="9"/>
        <color theme="1"/>
        <rFont val="Calibri Light"/>
        <family val="2"/>
        <scheme val="major"/>
      </rPr>
      <t xml:space="preserve"> lisää rehunkäyttöä</t>
    </r>
  </si>
  <si>
    <t>Rehuntuotanto eriteltynä</t>
  </si>
  <si>
    <t>1. sato</t>
  </si>
  <si>
    <t>2. sato</t>
  </si>
  <si>
    <t>3. sato</t>
  </si>
  <si>
    <t>Sopimuspelloilta</t>
  </si>
  <si>
    <t>Umpilehmille</t>
  </si>
  <si>
    <t>Ohra</t>
  </si>
  <si>
    <t>Kaura</t>
  </si>
  <si>
    <t>Vehnä</t>
  </si>
  <si>
    <t>Laakasiiloon</t>
  </si>
  <si>
    <t>Pyöröpaaleihin</t>
  </si>
  <si>
    <t>Seosvilja</t>
  </si>
  <si>
    <t>Muut korsirehut</t>
  </si>
  <si>
    <t>Maissi</t>
  </si>
  <si>
    <t>kg/ha</t>
  </si>
  <si>
    <t>KA</t>
  </si>
  <si>
    <t>kg ka/ha</t>
  </si>
  <si>
    <t>MJ/ha</t>
  </si>
  <si>
    <t>Ha</t>
  </si>
  <si>
    <t>muu kokoviljasr</t>
  </si>
  <si>
    <t>Rehutuotantoala yht.</t>
  </si>
  <si>
    <t xml:space="preserve">Ostoväkirehujen käyttö </t>
  </si>
  <si>
    <t xml:space="preserve"> kg/vuosi</t>
  </si>
  <si>
    <t xml:space="preserve">Kivennäisten käyttö </t>
  </si>
  <si>
    <t xml:space="preserve">Ostokorsirehujen käyttö </t>
  </si>
  <si>
    <t xml:space="preserve">Säilörehun myynti </t>
  </si>
  <si>
    <t xml:space="preserve">Viljan myynti </t>
  </si>
  <si>
    <r>
      <rPr>
        <b/>
        <sz val="9"/>
        <color theme="1"/>
        <rFont val="Calibri Light"/>
        <family val="2"/>
        <scheme val="major"/>
      </rPr>
      <t>Kylmäkasvatus</t>
    </r>
    <r>
      <rPr>
        <sz val="9"/>
        <color theme="1"/>
        <rFont val="Calibri Light"/>
        <family val="2"/>
        <scheme val="major"/>
      </rPr>
      <t xml:space="preserve"> lisää rehunkäyttöä, %     MJ/eläin</t>
    </r>
  </si>
  <si>
    <t>Kuiva-aine
(ka), g/kg</t>
  </si>
  <si>
    <t>Kuitu (NDF)
g/kg ka</t>
  </si>
  <si>
    <t>Raaka-valkuainen
g/kg ka</t>
  </si>
  <si>
    <t>Energia-arvo (ME)
MJ/kg ka</t>
  </si>
  <si>
    <t>Tuhka
g/kg ka</t>
  </si>
  <si>
    <t>OIV-arvo
g/kg ka</t>
  </si>
  <si>
    <t>PVT-arvo
g/kg ka</t>
  </si>
  <si>
    <t>pH</t>
  </si>
  <si>
    <t>Ammoni-akkityppi
g/kg-N</t>
  </si>
  <si>
    <t>Liukoinen typpi
g/kg-N</t>
  </si>
  <si>
    <t>Maito- ja muurahaishappo
g/kg ka</t>
  </si>
  <si>
    <t>Haihtuvat rasvahapot
g/kg ka</t>
  </si>
  <si>
    <t>Sokeri
g/kg ka</t>
  </si>
  <si>
    <t>Syönti-indeksi</t>
  </si>
  <si>
    <t>Säilörehun rehuanalyysit</t>
  </si>
  <si>
    <t>Luonnonlaidun</t>
  </si>
  <si>
    <t>Nurmilaidun</t>
  </si>
  <si>
    <t>Pikalaidun</t>
  </si>
  <si>
    <t>Nurmik. 80</t>
  </si>
  <si>
    <t>0</t>
  </si>
  <si>
    <t>&lt; 4,0</t>
  </si>
  <si>
    <t>Hyvä 60</t>
  </si>
  <si>
    <t>Hyvä &lt; 20</t>
  </si>
  <si>
    <t>Tavoite</t>
  </si>
  <si>
    <t>Hyvä &lt; 400</t>
  </si>
  <si>
    <t>10,8 – 11,2</t>
  </si>
  <si>
    <t>250 - 350</t>
  </si>
  <si>
    <t>680 - 700</t>
  </si>
  <si>
    <t>130 - 160</t>
  </si>
  <si>
    <t>Min. 25 % 
KA-syönnistä</t>
  </si>
  <si>
    <t>80 – 85</t>
  </si>
  <si>
    <t>Happosäil. 35 – 60</t>
  </si>
  <si>
    <t>50 – 150 
g/kg ka</t>
  </si>
  <si>
    <t>95 – 110 pistettä</t>
  </si>
  <si>
    <t>Säilörehu yht.</t>
  </si>
  <si>
    <t>Rehuvilja yht.</t>
  </si>
  <si>
    <t>Kokov.sr.yht.</t>
  </si>
  <si>
    <t>Laidun yht.</t>
  </si>
  <si>
    <t>Muut yht.</t>
  </si>
  <si>
    <t>Siitossonni</t>
  </si>
  <si>
    <t>Kuntoluokan muutos</t>
  </si>
  <si>
    <t>Emolehmätuotanto</t>
  </si>
  <si>
    <t>Energiantarve /eläin/v, MJ</t>
  </si>
  <si>
    <t>Rehusadon energia</t>
  </si>
  <si>
    <t>Emolehmän tuotantokustannus</t>
  </si>
  <si>
    <t>Vapaa-ruokinta</t>
  </si>
  <si>
    <t>Kylmä-kasvatus</t>
  </si>
  <si>
    <t>Energian-tarve</t>
  </si>
  <si>
    <t>Käyttöikä, vuosia</t>
  </si>
  <si>
    <t>Siitossonnien
määrä, kpl</t>
  </si>
  <si>
    <t>Lehmä + uudistus (maidontuotannon) energian tarve</t>
  </si>
  <si>
    <t>Energiantarve
MJ/eläin/vuosi</t>
  </si>
  <si>
    <t>Rehun käyttö MJ/eläin/vuosi</t>
  </si>
  <si>
    <t>MJ/eläin
/kasvatusaika</t>
  </si>
  <si>
    <t>Tuotos 
/ eläin</t>
  </si>
  <si>
    <t xml:space="preserve">Muiden rehukasvien myynti </t>
  </si>
  <si>
    <t>Ostoväkirehut yhteensä</t>
  </si>
  <si>
    <t>r 1</t>
  </si>
  <si>
    <t>r 2</t>
  </si>
  <si>
    <t>r 3</t>
  </si>
  <si>
    <t>r 4</t>
  </si>
  <si>
    <t>r 5</t>
  </si>
  <si>
    <t>r 6</t>
  </si>
  <si>
    <t>r 7</t>
  </si>
  <si>
    <t>r 8</t>
  </si>
  <si>
    <t>r 9</t>
  </si>
  <si>
    <t>r 10</t>
  </si>
  <si>
    <t>r 11</t>
  </si>
  <si>
    <t>r 12</t>
  </si>
  <si>
    <t>r 13</t>
  </si>
  <si>
    <t>r 14</t>
  </si>
  <si>
    <t>r 15</t>
  </si>
  <si>
    <t xml:space="preserve">Erotus </t>
  </si>
  <si>
    <t>Väkirehut</t>
  </si>
  <si>
    <t>Korsirehut</t>
  </si>
  <si>
    <t>Ostokivennäiset yhteensä</t>
  </si>
  <si>
    <t>r 16</t>
  </si>
  <si>
    <t>r 17</t>
  </si>
  <si>
    <t>r 18</t>
  </si>
  <si>
    <t>r 19</t>
  </si>
  <si>
    <t>r 20</t>
  </si>
  <si>
    <t>r 21</t>
  </si>
  <si>
    <t>r 22</t>
  </si>
  <si>
    <t>r 23</t>
  </si>
  <si>
    <t>r 24</t>
  </si>
  <si>
    <t>r 25</t>
  </si>
  <si>
    <t>r 26</t>
  </si>
  <si>
    <t>r 27</t>
  </si>
  <si>
    <t>r 28</t>
  </si>
  <si>
    <t>r 29</t>
  </si>
  <si>
    <t>r 30</t>
  </si>
  <si>
    <t>r 31</t>
  </si>
  <si>
    <t>r 32</t>
  </si>
  <si>
    <t>r 33</t>
  </si>
  <si>
    <t>r 34</t>
  </si>
  <si>
    <t>r 35</t>
  </si>
  <si>
    <t>Rehuntuotanto, ostorehut ja rehumyynnit</t>
  </si>
  <si>
    <t>Väkirehujen osuus rehunkäytöstä yhteensä</t>
  </si>
  <si>
    <t>Ostorehujen osuus rehunkäytöstä yhteensä</t>
  </si>
  <si>
    <t>Säilörehun tuotot</t>
  </si>
  <si>
    <t>Sato</t>
  </si>
  <si>
    <t>Tuet</t>
  </si>
  <si>
    <t>€/h</t>
  </si>
  <si>
    <t>h/ha</t>
  </si>
  <si>
    <t xml:space="preserve"> €/ha </t>
  </si>
  <si>
    <t>osuus, €/ha</t>
  </si>
  <si>
    <t>kp-%</t>
  </si>
  <si>
    <t>Työtunteja</t>
  </si>
  <si>
    <t>h/ha/vuosi</t>
  </si>
  <si>
    <t>Traktorin poltto-ja voit.ainekust.</t>
  </si>
  <si>
    <t xml:space="preserve">   Koneet ja laitteet</t>
  </si>
  <si>
    <t xml:space="preserve">Kotieläintuotannon tuotot, </t>
  </si>
  <si>
    <t xml:space="preserve">   Säilörehu</t>
  </si>
  <si>
    <t xml:space="preserve">   Rehuvilja</t>
  </si>
  <si>
    <t xml:space="preserve">   Kokoviljasäilörehu</t>
  </si>
  <si>
    <t xml:space="preserve">   Laidun</t>
  </si>
  <si>
    <t xml:space="preserve">   Muut korsirehut</t>
  </si>
  <si>
    <t>Lääkintä</t>
  </si>
  <si>
    <t>Siemennys, jalostus ym.</t>
  </si>
  <si>
    <t>€ / emolehmä</t>
  </si>
  <si>
    <t>€/emolehmä</t>
  </si>
  <si>
    <t xml:space="preserve">Tuotantokustannus yhteensä, €/emolehmä </t>
  </si>
  <si>
    <t>Emolehmän tuotot</t>
  </si>
  <si>
    <t>Liha</t>
  </si>
  <si>
    <t xml:space="preserve">Emolehmän tuet yht. </t>
  </si>
  <si>
    <t>Muut</t>
  </si>
  <si>
    <t>Tuotanto yht. /vuosi</t>
  </si>
  <si>
    <t>€/yksikkö</t>
  </si>
  <si>
    <t>Muut tuotot yht.</t>
  </si>
  <si>
    <t>Lihantuotanto, kg</t>
  </si>
  <si>
    <t>Pihvivasikka, kpl</t>
  </si>
  <si>
    <t>Pihvi-vasikka</t>
  </si>
  <si>
    <t>Nettosato 
kg ka/ha</t>
  </si>
  <si>
    <t>Kustannus</t>
  </si>
  <si>
    <t>snt/kg ka</t>
  </si>
  <si>
    <t xml:space="preserve">Tuotantokustannus - tuet </t>
  </si>
  <si>
    <t>Tuotantokust. snt/kg ka</t>
  </si>
  <si>
    <t>Tuotantokust. - tuet, snt/kg ka</t>
  </si>
  <si>
    <t>Tk - tuet</t>
  </si>
  <si>
    <t>(TK- tuet)</t>
  </si>
  <si>
    <t>Oma tuot.kust.</t>
  </si>
  <si>
    <t>snt/liha-kg</t>
  </si>
  <si>
    <t xml:space="preserve">Tuotantokust. €/liha-kg </t>
  </si>
  <si>
    <t>säilörehu markkinahinnalla</t>
  </si>
  <si>
    <t>Säilörehuntuotannon kustannukset</t>
  </si>
  <si>
    <t xml:space="preserve">Tuotantokustannus yht. €/emolehmä, lihantuotanto </t>
  </si>
  <si>
    <t>Muut muuttuvat yht.</t>
  </si>
  <si>
    <t xml:space="preserve">muiden tuottojen paitsi tuet osuus kustannuksista </t>
  </si>
  <si>
    <t>h/eläin/v</t>
  </si>
  <si>
    <t>Tuotantokust. €/liha-kg, kun lasketaan</t>
  </si>
  <si>
    <r>
      <t xml:space="preserve">Tuotantokustannusvertailu, </t>
    </r>
    <r>
      <rPr>
        <b/>
        <sz val="14"/>
        <color theme="1"/>
        <rFont val="Calibri Light"/>
        <family val="2"/>
        <scheme val="major"/>
      </rPr>
      <t>pihvivasikantuotanto</t>
    </r>
    <r>
      <rPr>
        <sz val="14"/>
        <color theme="1"/>
        <rFont val="Calibri Light"/>
        <family val="2"/>
        <scheme val="major"/>
      </rPr>
      <t>, €/pihvivasikka</t>
    </r>
  </si>
  <si>
    <r>
      <t xml:space="preserve">Tuotantokustannusvertailu, </t>
    </r>
    <r>
      <rPr>
        <b/>
        <sz val="14"/>
        <color theme="1"/>
        <rFont val="Calibri Light"/>
        <family val="2"/>
        <scheme val="major"/>
      </rPr>
      <t>yhdistelmätuotanto</t>
    </r>
    <r>
      <rPr>
        <sz val="14"/>
        <color theme="1"/>
        <rFont val="Calibri Light"/>
        <family val="2"/>
        <scheme val="major"/>
      </rPr>
      <t>, €/tuotettu liha-kg</t>
    </r>
  </si>
  <si>
    <t>€/kpl</t>
  </si>
  <si>
    <t>Tuotantokust. €/kpl</t>
  </si>
  <si>
    <t>€/tuotettu pihvivasikka</t>
  </si>
  <si>
    <t>Lihasonnintuotanto</t>
  </si>
  <si>
    <r>
      <t xml:space="preserve">Tuotantokustannusvertailu, </t>
    </r>
    <r>
      <rPr>
        <b/>
        <sz val="14"/>
        <color theme="1"/>
        <rFont val="Calibri Light"/>
        <family val="2"/>
        <scheme val="major"/>
      </rPr>
      <t>lihasonnintuotanto</t>
    </r>
    <r>
      <rPr>
        <sz val="14"/>
        <color theme="1"/>
        <rFont val="Calibri Light"/>
        <family val="2"/>
        <scheme val="major"/>
      </rPr>
      <t>, €/tuotettu liha-kg</t>
    </r>
  </si>
  <si>
    <t>Lihasonnin tuotantokustannus</t>
  </si>
  <si>
    <t>Lihasonni, kg</t>
  </si>
  <si>
    <t>Lihahieho, kg</t>
  </si>
  <si>
    <t xml:space="preserve">Lihantuot. tuet yht. </t>
  </si>
  <si>
    <t xml:space="preserve">Tuotantokustannus yht. €/eläin </t>
  </si>
  <si>
    <t xml:space="preserve">Tuotantokustannus yhteensä, €/eläin </t>
  </si>
  <si>
    <t>Lihahiehon tuotantokustannus</t>
  </si>
  <si>
    <t>Lihahiehontuotanto</t>
  </si>
  <si>
    <r>
      <t xml:space="preserve">Tuotantokustannusvertailu, </t>
    </r>
    <r>
      <rPr>
        <b/>
        <sz val="14"/>
        <color theme="1"/>
        <rFont val="Calibri Light"/>
        <family val="2"/>
        <scheme val="major"/>
      </rPr>
      <t>lihahiehontuotanto</t>
    </r>
    <r>
      <rPr>
        <sz val="14"/>
        <color theme="1"/>
        <rFont val="Calibri Light"/>
        <family val="2"/>
        <scheme val="major"/>
      </rPr>
      <t>, €/tuotettu liha-kg</t>
    </r>
  </si>
  <si>
    <t>Maidontuotanto</t>
  </si>
  <si>
    <t>Maidontuotanto, kg</t>
  </si>
  <si>
    <t>Lypsylehmän tuotot</t>
  </si>
  <si>
    <t xml:space="preserve">Lehmän tuet yht. </t>
  </si>
  <si>
    <t>€/lehmä</t>
  </si>
  <si>
    <t xml:space="preserve">Tuotantokustannus yhteensä, €/lehmä </t>
  </si>
  <si>
    <t xml:space="preserve">Tuotantokustannus yht. €/lehmä </t>
  </si>
  <si>
    <t>sntkg</t>
  </si>
  <si>
    <t>Tuotantokust. €/kg, kun lasketaan</t>
  </si>
  <si>
    <t xml:space="preserve">Tuotantokust. €/kg </t>
  </si>
  <si>
    <t>Säilörehu,</t>
  </si>
  <si>
    <t>Maidontuotanto,</t>
  </si>
  <si>
    <t>Emolehmä, yhdistelmätuotanto,</t>
  </si>
  <si>
    <t>Emolehmä, pihvivasikkatuot.,</t>
  </si>
  <si>
    <t>Sonninlihantuotanto,</t>
  </si>
  <si>
    <t>Hiehonlihantuotanto,</t>
  </si>
  <si>
    <t>Rehun käyttö ja säilörehun nettosato</t>
  </si>
  <si>
    <t>Tuotos</t>
  </si>
  <si>
    <t>Myynti</t>
  </si>
  <si>
    <t>euroa</t>
  </si>
  <si>
    <t>Uudistus maidontuotannossa</t>
  </si>
  <si>
    <t>Uudistus emolehmätuotannossa</t>
  </si>
  <si>
    <t>%</t>
  </si>
  <si>
    <t>Kasvatusaika</t>
  </si>
  <si>
    <t>Lihasonnien kasvatusaika keskim.</t>
  </si>
  <si>
    <t>Lihahiehojen kasvatusaika keskim.</t>
  </si>
  <si>
    <t>kk</t>
  </si>
  <si>
    <t>Kylmäkasvatus</t>
  </si>
  <si>
    <t>Vapaaruokinta</t>
  </si>
  <si>
    <t>Valinta = X</t>
  </si>
  <si>
    <t>Yhteensä</t>
  </si>
  <si>
    <t>Kotieläintuotannon ostopanokset</t>
  </si>
  <si>
    <t>Työmäärä</t>
  </si>
  <si>
    <t>h/vrk</t>
  </si>
  <si>
    <t>Kotieläintuotannon investoinnit</t>
  </si>
  <si>
    <t>Koneiden huolto ja kunnossapito/v</t>
  </si>
  <si>
    <t>Rakennusten huolto ja kunnossapito/v</t>
  </si>
  <si>
    <t>Kustannusten jako</t>
  </si>
  <si>
    <t>Täydennä muut tiedot sivulla Energiantarve</t>
  </si>
  <si>
    <t>Rehuntuotanto</t>
  </si>
  <si>
    <t>Sadot</t>
  </si>
  <si>
    <t>Erittele sivulla rehuntuotanto</t>
  </si>
  <si>
    <t>euroa/ha</t>
  </si>
  <si>
    <t>yht. euroa</t>
  </si>
  <si>
    <t>Rehuntuotannon ostopanokset</t>
  </si>
  <si>
    <t>Rehuntuotannon investoinnit</t>
  </si>
  <si>
    <t>Rehuarvot</t>
  </si>
  <si>
    <t>Täydennä rehuarvot sivulla Rehuntuotanto</t>
  </si>
  <si>
    <t>€/yks.</t>
  </si>
  <si>
    <t>Tuotantotuki</t>
  </si>
  <si>
    <t>Hyvinvointikorvaus</t>
  </si>
  <si>
    <r>
      <t xml:space="preserve">Lehmiä
</t>
    </r>
    <r>
      <rPr>
        <sz val="8"/>
        <color theme="1"/>
        <rFont val="Calibri Light"/>
        <family val="2"/>
        <scheme val="major"/>
      </rPr>
      <t>Keskilehmäluku/vuosi maidontuotannossa</t>
    </r>
  </si>
  <si>
    <r>
      <t xml:space="preserve">Maitoa
</t>
    </r>
    <r>
      <rPr>
        <sz val="8"/>
        <color theme="1"/>
        <rFont val="Calibri Light"/>
        <family val="2"/>
        <scheme val="major"/>
      </rPr>
      <t>Keskituotos, kg/lehmä</t>
    </r>
  </si>
  <si>
    <r>
      <t xml:space="preserve">Maitotili
</t>
    </r>
    <r>
      <rPr>
        <sz val="8"/>
        <color theme="1"/>
        <rFont val="Calibri Light"/>
        <family val="2"/>
        <scheme val="major"/>
      </rPr>
      <t>Myyty maitoa yhteensä/vuosi</t>
    </r>
  </si>
  <si>
    <r>
      <t xml:space="preserve">Maidon tuotantotuki
</t>
    </r>
    <r>
      <rPr>
        <sz val="8"/>
        <color theme="1"/>
        <rFont val="Calibri Light"/>
        <family val="2"/>
        <scheme val="major"/>
      </rPr>
      <t>+ hyvinvointikorvaus yht/vuosi</t>
    </r>
  </si>
  <si>
    <r>
      <t xml:space="preserve">Emolehmiä
</t>
    </r>
    <r>
      <rPr>
        <sz val="8"/>
        <color theme="1"/>
        <rFont val="Calibri Light"/>
        <family val="2"/>
        <scheme val="major"/>
      </rPr>
      <t>Keskilehmäluku/vuosi emolehmätuotannossa</t>
    </r>
  </si>
  <si>
    <r>
      <t xml:space="preserve">Pihvivasikoita
</t>
    </r>
    <r>
      <rPr>
        <sz val="8"/>
        <color theme="1"/>
        <rFont val="Calibri Light"/>
        <family val="2"/>
        <scheme val="major"/>
      </rPr>
      <t>Myynti, kpl/vuosi</t>
    </r>
  </si>
  <si>
    <r>
      <t xml:space="preserve">Pihvivasikkatili
</t>
    </r>
    <r>
      <rPr>
        <sz val="8"/>
        <color theme="1"/>
        <rFont val="Calibri Light"/>
        <family val="2"/>
        <scheme val="major"/>
      </rPr>
      <t>Myyty pihvivasikoita yhteensä/vuosi</t>
    </r>
  </si>
  <si>
    <r>
      <t xml:space="preserve">Emolehmäpalkkio
</t>
    </r>
    <r>
      <rPr>
        <sz val="8"/>
        <color theme="1"/>
        <rFont val="Calibri Light"/>
        <family val="2"/>
        <scheme val="major"/>
      </rPr>
      <t>+ muut kotieläintuet yht/vuosi</t>
    </r>
  </si>
  <si>
    <r>
      <t xml:space="preserve">Lihasonneja
</t>
    </r>
    <r>
      <rPr>
        <sz val="8"/>
        <color theme="1"/>
        <rFont val="Calibri Light"/>
        <family val="2"/>
        <scheme val="major"/>
      </rPr>
      <t>Sonneja teuraaksi keskim./v lihantuotannossa</t>
    </r>
  </si>
  <si>
    <r>
      <t xml:space="preserve">Teuraspaino
</t>
    </r>
    <r>
      <rPr>
        <sz val="8"/>
        <color theme="1"/>
        <rFont val="Calibri Light"/>
        <family val="2"/>
        <scheme val="major"/>
      </rPr>
      <t>Keskimääräinen teuraspaino, kg/sonni</t>
    </r>
  </si>
  <si>
    <r>
      <t xml:space="preserve">Teurastili
</t>
    </r>
    <r>
      <rPr>
        <sz val="8"/>
        <color theme="1"/>
        <rFont val="Calibri Light"/>
        <family val="2"/>
        <scheme val="major"/>
      </rPr>
      <t>Myyty sonneja teuraaksi yhteensä/v</t>
    </r>
  </si>
  <si>
    <r>
      <t xml:space="preserve">Nautapalkkio
</t>
    </r>
    <r>
      <rPr>
        <sz val="8"/>
        <color theme="1"/>
        <rFont val="Calibri Light"/>
        <family val="2"/>
        <scheme val="major"/>
      </rPr>
      <t>+ muut lihasonnin tuet yht/vuosi</t>
    </r>
  </si>
  <si>
    <r>
      <t xml:space="preserve">Lihahiehoja
</t>
    </r>
    <r>
      <rPr>
        <sz val="8"/>
        <color theme="1"/>
        <rFont val="Calibri Light"/>
        <family val="2"/>
        <scheme val="major"/>
      </rPr>
      <t>Hiehoja teuraaksi keskim./v lihantuotannossa</t>
    </r>
  </si>
  <si>
    <r>
      <t xml:space="preserve">Teuraspaino
</t>
    </r>
    <r>
      <rPr>
        <sz val="8"/>
        <color theme="1"/>
        <rFont val="Calibri Light"/>
        <family val="2"/>
        <scheme val="major"/>
      </rPr>
      <t>Keskimääräinen teuraspaino, kg/hieho</t>
    </r>
  </si>
  <si>
    <r>
      <t xml:space="preserve">Teurastili
</t>
    </r>
    <r>
      <rPr>
        <sz val="8"/>
        <color theme="1"/>
        <rFont val="Calibri Light"/>
        <family val="2"/>
        <scheme val="major"/>
      </rPr>
      <t>Myyty hiehoja teuraaksi yhteensä/v</t>
    </r>
  </si>
  <si>
    <r>
      <t xml:space="preserve">Nautapalkkio
</t>
    </r>
    <r>
      <rPr>
        <sz val="8"/>
        <color theme="1"/>
        <rFont val="Calibri Light"/>
        <family val="2"/>
        <scheme val="major"/>
      </rPr>
      <t>+ muut lihahiehon tuet yht/vuosi</t>
    </r>
  </si>
  <si>
    <r>
      <t xml:space="preserve">Siitossonneja
</t>
    </r>
    <r>
      <rPr>
        <sz val="8"/>
        <color theme="1"/>
        <rFont val="Calibri Light"/>
        <family val="2"/>
        <scheme val="major"/>
      </rPr>
      <t>Siitossonneja keskimäärin/vuosi</t>
    </r>
  </si>
  <si>
    <r>
      <t xml:space="preserve">Jalostuseläinten myynnit
</t>
    </r>
    <r>
      <rPr>
        <sz val="8"/>
        <color theme="1"/>
        <rFont val="Calibri Light"/>
        <family val="2"/>
        <scheme val="major"/>
      </rPr>
      <t>Myyty jalostuseläimiä yhteensä/v</t>
    </r>
  </si>
  <si>
    <r>
      <t xml:space="preserve">Koneet ja laitteet </t>
    </r>
    <r>
      <rPr>
        <sz val="9"/>
        <color theme="1"/>
        <rFont val="Calibri Light"/>
        <family val="2"/>
        <scheme val="major"/>
      </rPr>
      <t>(keskim./vuosi)</t>
    </r>
  </si>
  <si>
    <r>
      <t xml:space="preserve">Rakennukset </t>
    </r>
    <r>
      <rPr>
        <sz val="9"/>
        <color theme="1"/>
        <rFont val="Calibri Light"/>
        <family val="2"/>
        <scheme val="major"/>
      </rPr>
      <t>(keskim./vuosi)</t>
    </r>
  </si>
  <si>
    <r>
      <t xml:space="preserve">Pelto- ja salaojahankinnat </t>
    </r>
    <r>
      <rPr>
        <sz val="9"/>
        <color theme="1"/>
        <rFont val="Calibri Light"/>
        <family val="2"/>
        <scheme val="major"/>
      </rPr>
      <t>(viim. 15 v yht)</t>
    </r>
  </si>
  <si>
    <t>Maidont.</t>
  </si>
  <si>
    <t>Emolehmät.</t>
  </si>
  <si>
    <t>Lihantuot.</t>
  </si>
  <si>
    <t>Poistolehmien myynti, maidontuotanto</t>
  </si>
  <si>
    <t>Poistolehmien myynti, emolehmätuot.</t>
  </si>
  <si>
    <r>
      <t xml:space="preserve">Koneet ja laitteet </t>
    </r>
    <r>
      <rPr>
        <sz val="9"/>
        <color theme="1"/>
        <rFont val="Calibri Light"/>
        <family val="2"/>
        <scheme val="major"/>
      </rPr>
      <t>(inv. keskim./vuosi)</t>
    </r>
  </si>
  <si>
    <r>
      <t xml:space="preserve">Rakennukset </t>
    </r>
    <r>
      <rPr>
        <sz val="9"/>
        <color theme="1"/>
        <rFont val="Calibri Light"/>
        <family val="2"/>
        <scheme val="major"/>
      </rPr>
      <t>(inv. keskim./vuosi)</t>
    </r>
  </si>
  <si>
    <t>/ha</t>
  </si>
  <si>
    <t>Peltotuet yhteensä</t>
  </si>
  <si>
    <t>Peltotuet</t>
  </si>
  <si>
    <t>Kotieläintuet</t>
  </si>
  <si>
    <t>Säilörehun käytön mukaan laskettu hehtaarisato, kg ka/ha (nettosato)</t>
  </si>
  <si>
    <t>/eläin</t>
  </si>
  <si>
    <t>h/vuosi</t>
  </si>
  <si>
    <t xml:space="preserve">Työtuntimäärä yhteensä vuodessa </t>
  </si>
  <si>
    <r>
      <t xml:space="preserve">Säilörehua, </t>
    </r>
    <r>
      <rPr>
        <sz val="8"/>
        <color theme="1"/>
        <rFont val="Calibri Light"/>
        <family val="2"/>
        <scheme val="major"/>
      </rPr>
      <t>kg ka/ha (bruttosato)</t>
    </r>
  </si>
  <si>
    <r>
      <t xml:space="preserve">Rehuviljaa, </t>
    </r>
    <r>
      <rPr>
        <sz val="8"/>
        <color theme="1"/>
        <rFont val="Calibri Light"/>
        <family val="2"/>
        <scheme val="major"/>
      </rPr>
      <t>kg/ha</t>
    </r>
  </si>
  <si>
    <r>
      <t xml:space="preserve">Kokoviljasäilörehua, </t>
    </r>
    <r>
      <rPr>
        <sz val="8"/>
        <color theme="1"/>
        <rFont val="Calibri Light"/>
        <family val="2"/>
        <scheme val="major"/>
      </rPr>
      <t>kg ka/ha</t>
    </r>
  </si>
  <si>
    <r>
      <t xml:space="preserve">Laidunta, </t>
    </r>
    <r>
      <rPr>
        <sz val="8"/>
        <color theme="1"/>
        <rFont val="Calibri Light"/>
        <family val="2"/>
        <scheme val="major"/>
      </rPr>
      <t>kg ka/ha</t>
    </r>
  </si>
  <si>
    <t>Eläinten hoito: Palkkatyötuntimäärä, h/vuosi</t>
  </si>
  <si>
    <t>Eläinten hoito: Palkkatyökustannus, euroa/vuosi</t>
  </si>
  <si>
    <t>Peltoviljely: Palkkatyötuntimäärä, h/vuosi</t>
  </si>
  <si>
    <t>Peltoviljely: Palkkatyökustannus, euroa/vuosi</t>
  </si>
  <si>
    <t>Maidon tuotantokust. €/kg, kun lasketaan</t>
  </si>
  <si>
    <t>Lihantuotanto</t>
  </si>
  <si>
    <t>Pihvivasikka</t>
  </si>
  <si>
    <t>Tuotanto yht. kg-lihaa/vuosi</t>
  </si>
  <si>
    <t>Liharotuisten osuus-%</t>
  </si>
  <si>
    <t>Ind.</t>
  </si>
  <si>
    <t>ME keskimäärin / kasvatuspäivä</t>
  </si>
  <si>
    <t>Aikuinen siitossonni, ei kunnostustarvetta, kuntoluokka 3</t>
  </si>
  <si>
    <t>Energiantarve, MJ/pv</t>
  </si>
  <si>
    <t>Syönti, kg ka/pv</t>
  </si>
  <si>
    <t>Siitossonnin energian tarve</t>
  </si>
  <si>
    <t>MJ/
vuosi</t>
  </si>
  <si>
    <t>Tarve/sonni/vuosi</t>
  </si>
  <si>
    <t>Syönti, 
kg ka/pv</t>
  </si>
  <si>
    <t>Energian-
tarve, MJ/pv</t>
  </si>
  <si>
    <t>Siitossonnin energian-</t>
  </si>
  <si>
    <t>Yhden kuntoluokan nostaminen nuorsonnilla</t>
  </si>
  <si>
    <t>Nuorsonni, 15 - 24 kk ikäinen siitossonni</t>
  </si>
  <si>
    <t>Emolehmätuotannon uudistushiehon energian tarve</t>
  </si>
  <si>
    <t>Keskikokoinen: Angus (ab) ja Hereford (hf)</t>
  </si>
  <si>
    <t>Iso: Charolais (ch)</t>
  </si>
  <si>
    <t>Iso: Limousin (Li) ja Blonde d’Aquitane (Ba)</t>
  </si>
  <si>
    <t>Vieroitus 6 kk</t>
  </si>
  <si>
    <t>tiineytys 15 kk</t>
  </si>
  <si>
    <t>poikiminen 24 kk</t>
  </si>
  <si>
    <t>Kasvu, 550 g/pv</t>
  </si>
  <si>
    <t>Kasvu, 350 g/pv</t>
  </si>
  <si>
    <t>Kasvu, 600 g/pv</t>
  </si>
  <si>
    <t>Kasvu, 400g/pv</t>
  </si>
  <si>
    <t>1) Keskikokoinen: Angus (ab) ja Hereford (hf)</t>
  </si>
  <si>
    <t>2) Iso: Charolais (ch)</t>
  </si>
  <si>
    <t>3) Iso: Limousin (Li) ja Blonde d’Aquitane (Ba)</t>
  </si>
  <si>
    <t>Rotu</t>
  </si>
  <si>
    <t>MJ/
kasvatusaika</t>
  </si>
  <si>
    <t>Poikima-ikä, kk</t>
  </si>
  <si>
    <t>Poikima-ikä, pv</t>
  </si>
  <si>
    <t>Uudistushiehon energian-</t>
  </si>
  <si>
    <t>Poikivan hiehon elopaino, kg</t>
  </si>
  <si>
    <t>Tuotantokustannus</t>
  </si>
  <si>
    <t xml:space="preserve"> markkinahinnalla laskettuna</t>
  </si>
  <si>
    <t>Tuotantokustannus säilörehun</t>
  </si>
  <si>
    <t>Tuotantokustannus - tuet</t>
  </si>
  <si>
    <r>
      <t>Työtuntimäärä yhteensä vuodessa</t>
    </r>
    <r>
      <rPr>
        <sz val="11"/>
        <color theme="0"/>
        <rFont val="Calibri Light"/>
        <family val="2"/>
        <scheme val="major"/>
      </rPr>
      <t>_</t>
    </r>
  </si>
  <si>
    <t>Tarkista tuotantokustannus kotieläin-tk sivulla</t>
  </si>
  <si>
    <t>snt / liha-kg</t>
  </si>
  <si>
    <t xml:space="preserve">Tuotantokust. snt/liha-kg </t>
  </si>
  <si>
    <t>Tuotantokust. snt/liha-kg, kun lasketaan</t>
  </si>
  <si>
    <t>euroa/kpl</t>
  </si>
  <si>
    <r>
      <t xml:space="preserve">Tuotantokustannusvertailu, </t>
    </r>
    <r>
      <rPr>
        <b/>
        <sz val="14"/>
        <color theme="1"/>
        <rFont val="Calibri Light"/>
        <family val="2"/>
        <scheme val="major"/>
      </rPr>
      <t>maidontuotanto</t>
    </r>
    <r>
      <rPr>
        <sz val="14"/>
        <color theme="1"/>
        <rFont val="Calibri Light"/>
        <family val="2"/>
        <scheme val="major"/>
      </rPr>
      <t>, snt/kg</t>
    </r>
  </si>
  <si>
    <t>euroa/kg</t>
  </si>
  <si>
    <t>Katetuotto A</t>
  </si>
  <si>
    <t>Katetuotto B</t>
  </si>
  <si>
    <t>Katetuotto C</t>
  </si>
  <si>
    <t>- Muuttuvat kustannukset</t>
  </si>
  <si>
    <t>- Työkustannus</t>
  </si>
  <si>
    <t>- Kiinteät kustannukset</t>
  </si>
  <si>
    <t>Kotieläinkatetuotto, €/eläin</t>
  </si>
  <si>
    <t>Eläintuotannot tuet</t>
  </si>
  <si>
    <t>snt/tuotettu liha-kg</t>
  </si>
  <si>
    <t>snt/maito kg</t>
  </si>
  <si>
    <t>Laskelmien vertailu (Oma laskelma vrt. Hyvä)</t>
  </si>
  <si>
    <t>Hieho (uudistus, emolehmät)</t>
  </si>
  <si>
    <t>Hieho (uudistus, maidont.)</t>
  </si>
  <si>
    <t>Lehmä (maidontuotanto)</t>
  </si>
  <si>
    <t>Tuotot (sis. tuet)</t>
  </si>
  <si>
    <t>Vertailu hyvää tulosta tekevään maatilayritykseen</t>
  </si>
  <si>
    <t>Vertailu erinomaista tulosta tekevään maatilayritykseen</t>
  </si>
  <si>
    <t>© Auvo Sairanen, Luke 17.9.2020</t>
  </si>
  <si>
    <t>© Maiju Pesonen, SatoFood 12.2.2021</t>
  </si>
  <si>
    <t>© Arto Huuskonen ja Mikko Tuori, Luke 3.2.2021</t>
  </si>
  <si>
    <t>Koneet ja laitteet</t>
  </si>
  <si>
    <t>yht. vuosilta</t>
  </si>
  <si>
    <t>Rakennukset</t>
  </si>
  <si>
    <t>Rehuanalyysi vrt. varastointihävikki</t>
  </si>
  <si>
    <t>Säilörehun bruttosato (korjattu sato)</t>
  </si>
  <si>
    <t>kg ka / ha</t>
  </si>
  <si>
    <t>Säilörehun nettosato (ruokintamäärä)</t>
  </si>
  <si>
    <t>Säilörehun varastointihävikki</t>
  </si>
  <si>
    <t>Säilörehun varastointihävikki ja hävikin vähentäminen</t>
  </si>
  <si>
    <t>kg ka yht.</t>
  </si>
  <si>
    <t>Elopainon kasvu, g/pv</t>
  </si>
  <si>
    <t>Ruhopainon kasvu, g/pv</t>
  </si>
  <si>
    <t>Yhteenveto ja johtopäätökset</t>
  </si>
  <si>
    <t>1. Miten hyvin tulokset vastaavat todellisuutta? Mistä erot johtuvat?</t>
  </si>
  <si>
    <t>2. Miten laskelman luotettavuutta voidaan parantaa jatkossa?</t>
  </si>
  <si>
    <t>3. Muita huomioita €Nurmi-laskelmasta ja tuotantokustannuslaskelman laatimisesta?</t>
  </si>
  <si>
    <t>4. Miten oman tilan tulos pärjää vertailussa muihin?</t>
  </si>
  <si>
    <t>7. Miten toimintaa pitäisi tuloksen perusteella kehittää?</t>
  </si>
  <si>
    <t>8. Mitä konkreettisia toimenpiteitä toiminnan kehittäminen edellyttää?</t>
  </si>
  <si>
    <t>9. Mitä uhkia kehittämisessä on? Mitä mahdollisuuksia kehittäminen tarjoaa?</t>
  </si>
  <si>
    <t xml:space="preserve">5. Mistä erot laskelmien vertailussa johtuvat? </t>
  </si>
  <si>
    <t>6. Mitkä ovat tärkeimmät laskelmien eroja selittävät tekijät?</t>
  </si>
  <si>
    <t>kustannukset yht</t>
  </si>
  <si>
    <t>tuet</t>
  </si>
  <si>
    <t>Kustannukset - Tuet</t>
  </si>
  <si>
    <t>Rehujen tuotantokustannukset</t>
  </si>
  <si>
    <t>Yhteenveto: Kustannukset - Tuet</t>
  </si>
  <si>
    <r>
      <t xml:space="preserve">Muut kotieläintuet
</t>
    </r>
    <r>
      <rPr>
        <sz val="8"/>
        <color theme="1"/>
        <rFont val="Calibri Light"/>
        <family val="2"/>
        <scheme val="major"/>
      </rPr>
      <t>+ muut kotieläintuet yht/vuosi</t>
    </r>
  </si>
  <si>
    <t>Rehumyynnit + varastoon</t>
  </si>
  <si>
    <t xml:space="preserve">Säilörehu </t>
  </si>
  <si>
    <t>Vilja</t>
  </si>
  <si>
    <t>Rehumyynnit + rehuvaraston kasvattaminen yhteensä</t>
  </si>
  <si>
    <t>Rehun tuotanto + ostorehut - rehumyynnit ja varastoon tuotettu rehu</t>
  </si>
  <si>
    <t>Tarkista tuotantokustannus Kotieläin-tk sivulla …</t>
  </si>
  <si>
    <t>Peltovuokrat</t>
  </si>
  <si>
    <t>Yleiskustannukset</t>
  </si>
  <si>
    <t>Vakuutukset</t>
  </si>
  <si>
    <t>Myel ja Mata</t>
  </si>
  <si>
    <r>
      <t xml:space="preserve">Energia </t>
    </r>
    <r>
      <rPr>
        <sz val="8"/>
        <color theme="1"/>
        <rFont val="Calibri Light"/>
        <family val="2"/>
        <scheme val="major"/>
      </rPr>
      <t>(paitsi traktorin poltto -ja voiteluaine)</t>
    </r>
  </si>
  <si>
    <r>
      <t>Laitevuokrat</t>
    </r>
    <r>
      <rPr>
        <sz val="8"/>
        <color theme="1"/>
        <rFont val="Calibri Light"/>
        <family val="2"/>
        <scheme val="major"/>
      </rPr>
      <t xml:space="preserve"> (paitsi urakointiin kohdistuvat)</t>
    </r>
  </si>
  <si>
    <t>Kirjanpito</t>
  </si>
  <si>
    <t>Yleiskustannus yhteensä</t>
  </si>
  <si>
    <t>Peltoviljely</t>
  </si>
  <si>
    <t>Kotieläin-
tuotanto</t>
  </si>
  <si>
    <t>Yleiskustannus, prosenttia liikevaihdosta</t>
  </si>
  <si>
    <t>Peltoviljelyn 
osuus</t>
  </si>
  <si>
    <t>Kotieläin-
tuot.osuus</t>
  </si>
  <si>
    <t>Kotieläintuotot</t>
  </si>
  <si>
    <t>Muut kotiel.tuotot</t>
  </si>
  <si>
    <t>Kustannukset</t>
  </si>
  <si>
    <t>Kotiel.tuot.ostopanokset</t>
  </si>
  <si>
    <t>Muut peltoviljelyn kustannukset</t>
  </si>
  <si>
    <t>Korjuun urakointikustannukset</t>
  </si>
  <si>
    <t>Muut  urakointikustannukset</t>
  </si>
  <si>
    <t>Kotieläintyökustannus</t>
  </si>
  <si>
    <t>Kotieläint.kiinteät kustannukset</t>
  </si>
  <si>
    <t>Viljelyn kiinteät kustannukset</t>
  </si>
  <si>
    <t>Viljelyn työkustannus</t>
  </si>
  <si>
    <t>Viljelyn ostopanokset</t>
  </si>
  <si>
    <t>Viljelyn tuet</t>
  </si>
  <si>
    <t>Viljelyn tuotot</t>
  </si>
  <si>
    <t>Korkokustannus</t>
  </si>
  <si>
    <t>Kustannukset yhteensä</t>
  </si>
  <si>
    <t>Voitto</t>
  </si>
  <si>
    <t>Yrittäjätulo</t>
  </si>
  <si>
    <t>Kustannukset - työ ja korko</t>
  </si>
  <si>
    <t>Voitto/tappio</t>
  </si>
  <si>
    <t>ohje</t>
  </si>
  <si>
    <t>Kiinteistövero</t>
  </si>
  <si>
    <t>Säilörehu ja kuivaheinä</t>
  </si>
  <si>
    <t>Täysrehu ja valkuaisrehut</t>
  </si>
  <si>
    <t>Muut yleiskustannukset</t>
  </si>
  <si>
    <t>11,1</t>
  </si>
  <si>
    <t xml:space="preserve">   josta työkustannuksen osuus</t>
  </si>
  <si>
    <t>Investoinnit yht.</t>
  </si>
  <si>
    <r>
      <t xml:space="preserve">Lehmä </t>
    </r>
    <r>
      <rPr>
        <sz val="9"/>
        <color theme="1"/>
        <rFont val="Calibri Light"/>
        <family val="2"/>
        <scheme val="major"/>
      </rPr>
      <t>(maidontuotanto)</t>
    </r>
  </si>
  <si>
    <r>
      <t xml:space="preserve">   Hieho</t>
    </r>
    <r>
      <rPr>
        <sz val="9"/>
        <color theme="1"/>
        <rFont val="Calibri Light"/>
        <family val="2"/>
        <scheme val="major"/>
      </rPr>
      <t xml:space="preserve"> (uudistus)</t>
    </r>
  </si>
  <si>
    <t>Laskelmapohja on toteutettu VarmaNurmi-hankkeessa; ©</t>
  </si>
  <si>
    <t>_2.5</t>
  </si>
  <si>
    <t>Lapinlehmät pienkarja</t>
  </si>
  <si>
    <t>Tervola</t>
  </si>
  <si>
    <t>Lappari-elinkeino -hanke</t>
  </si>
  <si>
    <t>V</t>
  </si>
  <si>
    <t>C3</t>
  </si>
  <si>
    <t>luomu</t>
  </si>
  <si>
    <t>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</si>
</sst>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0.0"/>
    <numFmt numFmtId="165" formatCode="0.000"/>
    <numFmt numFmtId="166" formatCode="0.0\ %"/>
    <numFmt numFmtId="167" formatCode="#,##0.0"/>
    <numFmt numFmtId="168" formatCode="#,##0.000"/>
    <numFmt numFmtId="169" formatCode="0.0000"/>
    <numFmt numFmtId="170" formatCode="\(0.00\)"/>
    <numFmt numFmtId="171" formatCode="\(General\)"/>
  </numFmts>
  <fonts count="105" x14ac:knownFonts="1">
    <font>
      <sz val="11"/>
      <color theme="1"/>
      <name val="Calibri"/>
      <family val="2"/>
      <scheme val="minor"/>
    </font>
    <font>
      <sz val="11"/>
      <color theme="1"/>
      <name val="Calibri"/>
      <family val="2"/>
      <scheme val="minor"/>
    </font>
    <font>
      <sz val="11"/>
      <color theme="1"/>
      <name val="Calibri Light"/>
      <family val="2"/>
      <scheme val="major"/>
    </font>
    <font>
      <sz val="10"/>
      <name val="Arial"/>
      <family val="2"/>
    </font>
    <font>
      <sz val="11"/>
      <name val="Calibri Light"/>
      <family val="2"/>
      <scheme val="major"/>
    </font>
    <font>
      <i/>
      <sz val="11"/>
      <name val="Calibri Light"/>
      <family val="2"/>
      <scheme val="major"/>
    </font>
    <font>
      <b/>
      <sz val="18"/>
      <color theme="9" tint="-0.249977111117893"/>
      <name val="Calibri Light"/>
      <family val="2"/>
      <scheme val="major"/>
    </font>
    <font>
      <sz val="9"/>
      <color theme="1"/>
      <name val="Calibri"/>
      <family val="2"/>
      <scheme val="minor"/>
    </font>
    <font>
      <sz val="8"/>
      <color theme="1"/>
      <name val="Calibri"/>
      <family val="2"/>
      <scheme val="minor"/>
    </font>
    <font>
      <sz val="9"/>
      <color indexed="81"/>
      <name val="Tahoma"/>
      <family val="2"/>
    </font>
    <font>
      <sz val="10"/>
      <name val="Calibri Light"/>
      <family val="2"/>
      <scheme val="major"/>
    </font>
    <font>
      <b/>
      <sz val="9"/>
      <color indexed="81"/>
      <name val="Tahoma"/>
      <family val="2"/>
    </font>
    <font>
      <sz val="14"/>
      <color theme="1"/>
      <name val="Calibri"/>
      <family val="2"/>
      <scheme val="minor"/>
    </font>
    <font>
      <sz val="8"/>
      <color indexed="81"/>
      <name val="Tahoma"/>
      <family val="2"/>
    </font>
    <font>
      <b/>
      <sz val="8"/>
      <color indexed="81"/>
      <name val="Tahoma"/>
      <family val="2"/>
    </font>
    <font>
      <b/>
      <sz val="11"/>
      <color theme="1"/>
      <name val="Calibri"/>
      <family val="2"/>
      <scheme val="minor"/>
    </font>
    <font>
      <sz val="10"/>
      <color theme="1"/>
      <name val="Calibri"/>
      <family val="2"/>
      <scheme val="minor"/>
    </font>
    <font>
      <sz val="8"/>
      <name val="Calibri Light"/>
      <family val="2"/>
      <scheme val="major"/>
    </font>
    <font>
      <sz val="11"/>
      <color rgb="FF00B0F0"/>
      <name val="Calibri"/>
      <family val="2"/>
      <scheme val="minor"/>
    </font>
    <font>
      <sz val="11"/>
      <name val="Calibri"/>
      <family val="2"/>
      <scheme val="minor"/>
    </font>
    <font>
      <sz val="11"/>
      <color rgb="FF0000FF"/>
      <name val="Calibri"/>
      <family val="2"/>
      <scheme val="minor"/>
    </font>
    <font>
      <b/>
      <sz val="11"/>
      <name val="Calibri"/>
      <family val="2"/>
      <scheme val="minor"/>
    </font>
    <font>
      <sz val="7"/>
      <color rgb="FF333333"/>
      <name val="Arial"/>
      <family val="2"/>
    </font>
    <font>
      <vertAlign val="superscript"/>
      <sz val="11"/>
      <color rgb="FF333333"/>
      <name val="Arial"/>
      <family val="2"/>
    </font>
    <font>
      <i/>
      <sz val="11"/>
      <color theme="1"/>
      <name val="Calibri"/>
      <family val="2"/>
      <scheme val="minor"/>
    </font>
    <font>
      <i/>
      <sz val="11"/>
      <color rgb="FFFF0000"/>
      <name val="Calibri"/>
      <family val="2"/>
      <scheme val="minor"/>
    </font>
    <font>
      <sz val="9"/>
      <color theme="1"/>
      <name val="Calibri Light"/>
      <family val="2"/>
      <scheme val="major"/>
    </font>
    <font>
      <u/>
      <sz val="11"/>
      <color theme="10"/>
      <name val="Calibri"/>
      <family val="2"/>
      <scheme val="minor"/>
    </font>
    <font>
      <sz val="11"/>
      <color theme="0"/>
      <name val="Calibri Light"/>
      <family val="2"/>
      <scheme val="major"/>
    </font>
    <font>
      <b/>
      <sz val="10"/>
      <name val="Calibri Light"/>
      <family val="2"/>
      <scheme val="major"/>
    </font>
    <font>
      <sz val="10"/>
      <color theme="1"/>
      <name val="Calibri Light"/>
      <family val="2"/>
      <scheme val="major"/>
    </font>
    <font>
      <b/>
      <sz val="11"/>
      <color theme="1"/>
      <name val="Calibri Light"/>
      <family val="2"/>
      <scheme val="major"/>
    </font>
    <font>
      <sz val="14"/>
      <color theme="1"/>
      <name val="Calibri Light"/>
      <family val="2"/>
      <scheme val="major"/>
    </font>
    <font>
      <sz val="12"/>
      <color theme="1"/>
      <name val="Calibri Light"/>
      <family val="2"/>
      <scheme val="major"/>
    </font>
    <font>
      <sz val="8"/>
      <color theme="1"/>
      <name val="Calibri Light"/>
      <family val="2"/>
      <scheme val="major"/>
    </font>
    <font>
      <u/>
      <sz val="9"/>
      <color theme="10"/>
      <name val="Calibri"/>
      <family val="2"/>
      <scheme val="minor"/>
    </font>
    <font>
      <b/>
      <sz val="11"/>
      <color rgb="FFFF0000"/>
      <name val="Calibri Light"/>
      <family val="2"/>
      <scheme val="major"/>
    </font>
    <font>
      <sz val="11"/>
      <color rgb="FFFF0000"/>
      <name val="Calibri Light"/>
      <family val="2"/>
      <scheme val="major"/>
    </font>
    <font>
      <sz val="10.5"/>
      <name val="Calibri Light"/>
      <family val="2"/>
      <scheme val="major"/>
    </font>
    <font>
      <sz val="16"/>
      <name val="Calibri Light"/>
      <family val="2"/>
      <scheme val="major"/>
    </font>
    <font>
      <sz val="11"/>
      <color indexed="8"/>
      <name val="Calibri Light"/>
      <family val="2"/>
      <scheme val="major"/>
    </font>
    <font>
      <b/>
      <sz val="11"/>
      <name val="Calibri Light"/>
      <family val="2"/>
      <scheme val="major"/>
    </font>
    <font>
      <sz val="11"/>
      <color indexed="10"/>
      <name val="Calibri Light"/>
      <family val="2"/>
      <scheme val="major"/>
    </font>
    <font>
      <u/>
      <sz val="10"/>
      <color indexed="12"/>
      <name val="Arial"/>
      <family val="2"/>
    </font>
    <font>
      <u/>
      <sz val="11"/>
      <color indexed="12"/>
      <name val="Arial"/>
      <family val="2"/>
    </font>
    <font>
      <u/>
      <sz val="11"/>
      <color indexed="12"/>
      <name val="Calibri Light"/>
      <family val="2"/>
      <scheme val="major"/>
    </font>
    <font>
      <b/>
      <sz val="11"/>
      <color rgb="FF000000"/>
      <name val="Arial"/>
      <family val="2"/>
    </font>
    <font>
      <b/>
      <sz val="9"/>
      <color rgb="FF000000"/>
      <name val="Arial"/>
      <family val="2"/>
    </font>
    <font>
      <sz val="11"/>
      <color rgb="FF000000"/>
      <name val="Arial"/>
      <family val="2"/>
    </font>
    <font>
      <b/>
      <sz val="9"/>
      <color theme="1"/>
      <name val="Calibri Light"/>
      <family val="2"/>
      <scheme val="major"/>
    </font>
    <font>
      <sz val="16"/>
      <color theme="1"/>
      <name val="Calibri Light"/>
      <family val="2"/>
      <scheme val="major"/>
    </font>
    <font>
      <sz val="11"/>
      <color theme="0" tint="-0.14999847407452621"/>
      <name val="Calibri Light"/>
      <family val="2"/>
      <scheme val="major"/>
    </font>
    <font>
      <b/>
      <sz val="10"/>
      <color theme="1"/>
      <name val="Calibri Light"/>
      <family val="2"/>
      <scheme val="major"/>
    </font>
    <font>
      <b/>
      <sz val="11"/>
      <color theme="0"/>
      <name val="Calibri Light"/>
      <family val="2"/>
      <scheme val="major"/>
    </font>
    <font>
      <b/>
      <sz val="12"/>
      <color theme="3" tint="0.39997558519241921"/>
      <name val="Calibri"/>
      <family val="2"/>
      <scheme val="minor"/>
    </font>
    <font>
      <i/>
      <sz val="8"/>
      <color indexed="81"/>
      <name val="Tahoma"/>
      <family val="2"/>
    </font>
    <font>
      <u/>
      <sz val="8"/>
      <color indexed="81"/>
      <name val="Tahoma"/>
      <family val="2"/>
    </font>
    <font>
      <i/>
      <sz val="9"/>
      <color indexed="81"/>
      <name val="Tahoma"/>
      <family val="2"/>
    </font>
    <font>
      <b/>
      <u/>
      <sz val="9"/>
      <color indexed="81"/>
      <name val="Tahoma"/>
      <family val="2"/>
    </font>
    <font>
      <sz val="6"/>
      <color theme="1"/>
      <name val="Calibri Light"/>
      <family val="2"/>
      <scheme val="major"/>
    </font>
    <font>
      <sz val="9"/>
      <color indexed="10"/>
      <name val="Tahoma"/>
      <family val="2"/>
    </font>
    <font>
      <sz val="9"/>
      <name val="Calibri Light"/>
      <family val="2"/>
      <scheme val="major"/>
    </font>
    <font>
      <sz val="9.5"/>
      <name val="Calibri Light"/>
      <family val="2"/>
      <scheme val="major"/>
    </font>
    <font>
      <sz val="10"/>
      <color theme="0"/>
      <name val="Calibri Light"/>
      <family val="2"/>
      <scheme val="major"/>
    </font>
    <font>
      <sz val="8"/>
      <color theme="0"/>
      <name val="Calibri Light"/>
      <family val="2"/>
      <scheme val="major"/>
    </font>
    <font>
      <sz val="11"/>
      <color indexed="8"/>
      <name val="Calibri"/>
      <family val="2"/>
    </font>
    <font>
      <sz val="11"/>
      <color indexed="9"/>
      <name val="Calibri"/>
      <family val="2"/>
    </font>
    <font>
      <sz val="11"/>
      <color indexed="20"/>
      <name val="Calibri"/>
      <family val="2"/>
    </font>
    <font>
      <sz val="11"/>
      <color indexed="17"/>
      <name val="Calibri"/>
      <family val="2"/>
    </font>
    <font>
      <b/>
      <sz val="11"/>
      <color indexed="52"/>
      <name val="Calibri"/>
      <family val="2"/>
    </font>
    <font>
      <sz val="11"/>
      <color indexed="52"/>
      <name val="Calibri"/>
      <family val="2"/>
    </font>
    <font>
      <sz val="11"/>
      <color indexed="60"/>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i/>
      <sz val="11"/>
      <color indexed="23"/>
      <name val="Calibri"/>
      <family val="2"/>
    </font>
    <font>
      <b/>
      <sz val="11"/>
      <color indexed="8"/>
      <name val="Calibri"/>
      <family val="2"/>
    </font>
    <font>
      <sz val="11"/>
      <color indexed="62"/>
      <name val="Calibri"/>
      <family val="2"/>
    </font>
    <font>
      <b/>
      <sz val="11"/>
      <color indexed="9"/>
      <name val="Calibri"/>
      <family val="2"/>
    </font>
    <font>
      <b/>
      <sz val="11"/>
      <color indexed="63"/>
      <name val="Calibri"/>
      <family val="2"/>
    </font>
    <font>
      <sz val="11"/>
      <color indexed="10"/>
      <name val="Calibri"/>
      <family val="2"/>
    </font>
    <font>
      <b/>
      <sz val="14"/>
      <color theme="1"/>
      <name val="Calibri Light"/>
      <family val="2"/>
      <scheme val="major"/>
    </font>
    <font>
      <sz val="11"/>
      <color theme="10"/>
      <name val="Calibri Light"/>
      <family val="2"/>
      <scheme val="major"/>
    </font>
    <font>
      <sz val="13"/>
      <color theme="1"/>
      <name val="Calibri Light"/>
      <family val="2"/>
      <scheme val="major"/>
    </font>
    <font>
      <u/>
      <sz val="10"/>
      <color indexed="12"/>
      <name val="Calibri Light"/>
      <family val="2"/>
      <scheme val="major"/>
    </font>
    <font>
      <sz val="12"/>
      <color theme="1"/>
      <name val="Calibri"/>
      <family val="2"/>
      <scheme val="minor"/>
    </font>
    <font>
      <b/>
      <sz val="11"/>
      <color indexed="8"/>
      <name val="Calibri Light"/>
      <family val="2"/>
      <scheme val="major"/>
    </font>
    <font>
      <sz val="12"/>
      <name val="Calibri Light"/>
      <family val="2"/>
      <scheme val="major"/>
    </font>
    <font>
      <u/>
      <sz val="11"/>
      <color theme="10"/>
      <name val="Calibri Light"/>
      <family val="2"/>
      <scheme val="major"/>
    </font>
    <font>
      <sz val="12"/>
      <color theme="2" tint="-0.749992370372631"/>
      <name val="Calibri Light"/>
      <family val="2"/>
      <scheme val="major"/>
    </font>
    <font>
      <b/>
      <sz val="18"/>
      <color theme="2" tint="-0.749992370372631"/>
      <name val="Calibri Light"/>
      <family val="2"/>
      <scheme val="major"/>
    </font>
    <font>
      <sz val="12"/>
      <color theme="2" tint="-0.749992370372631"/>
      <name val="Calibri"/>
      <family val="2"/>
      <scheme val="minor"/>
    </font>
    <font>
      <sz val="8"/>
      <color rgb="FFFF0000"/>
      <name val="Calibri Light"/>
      <family val="2"/>
      <scheme val="major"/>
    </font>
    <font>
      <sz val="13"/>
      <name val="Calibri Light"/>
      <family val="2"/>
      <scheme val="major"/>
    </font>
    <font>
      <sz val="10.5"/>
      <color theme="1"/>
      <name val="Calibri Light"/>
      <family val="2"/>
      <scheme val="major"/>
    </font>
    <font>
      <sz val="8.5"/>
      <color theme="1"/>
      <name val="Calibri Light"/>
      <family val="2"/>
      <scheme val="major"/>
    </font>
    <font>
      <sz val="10"/>
      <color theme="10"/>
      <name val="Calibri Light"/>
      <family val="2"/>
      <scheme val="major"/>
    </font>
    <font>
      <sz val="7"/>
      <color theme="1"/>
      <name val="Calibri Light"/>
      <family val="2"/>
      <scheme val="major"/>
    </font>
    <font>
      <sz val="9"/>
      <color rgb="FF000000"/>
      <name val="Tahoma"/>
      <family val="2"/>
    </font>
    <font>
      <sz val="8"/>
      <color rgb="FF000000"/>
      <name val="Tahoma"/>
      <family val="2"/>
    </font>
    <font>
      <u/>
      <sz val="8"/>
      <color rgb="FF000000"/>
      <name val="Tahoma"/>
      <family val="2"/>
    </font>
    <font>
      <b/>
      <sz val="8"/>
      <color rgb="FF000000"/>
      <name val="Tahoma"/>
      <family val="2"/>
    </font>
    <font>
      <i/>
      <sz val="8"/>
      <color rgb="FF000000"/>
      <name val="Tahoma"/>
      <family val="2"/>
    </font>
    <font>
      <b/>
      <sz val="9"/>
      <color rgb="FF000000"/>
      <name val="Tahoma"/>
      <family val="2"/>
    </font>
  </fonts>
  <fills count="7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indexed="9"/>
        <bgColor indexed="64"/>
      </patternFill>
    </fill>
    <fill>
      <patternFill patternType="solid">
        <fgColor indexed="43"/>
        <bgColor indexed="64"/>
      </patternFill>
    </fill>
    <fill>
      <patternFill patternType="solid">
        <fgColor rgb="FFFFFF99"/>
        <bgColor indexed="64"/>
      </patternFill>
    </fill>
    <fill>
      <gradientFill degree="90">
        <stop position="0">
          <color theme="0"/>
        </stop>
        <stop position="0.5">
          <color rgb="FF00FF00"/>
        </stop>
        <stop position="1">
          <color theme="0"/>
        </stop>
      </gradientFill>
    </fill>
    <fill>
      <patternFill patternType="solid">
        <fgColor theme="0" tint="-4.9989318521683403E-2"/>
        <bgColor indexed="64"/>
      </patternFill>
    </fill>
    <fill>
      <patternFill patternType="solid">
        <fgColor rgb="FFFFCCFF"/>
        <bgColor indexed="64"/>
      </patternFill>
    </fill>
    <fill>
      <patternFill patternType="solid">
        <fgColor rgb="FF92D050"/>
        <bgColor indexed="64"/>
      </patternFill>
    </fill>
    <fill>
      <patternFill patternType="solid">
        <fgColor theme="7" tint="0.39997558519241921"/>
        <bgColor indexed="64"/>
      </patternFill>
    </fill>
    <fill>
      <patternFill patternType="solid">
        <fgColor rgb="FFCCFFCC"/>
        <bgColor indexed="64"/>
      </patternFill>
    </fill>
    <fill>
      <patternFill patternType="solid">
        <fgColor theme="8" tint="0.59999389629810485"/>
        <bgColor indexed="64"/>
      </patternFill>
    </fill>
    <fill>
      <patternFill patternType="solid">
        <fgColor theme="7" tint="0.59999389629810485"/>
        <bgColor indexed="64"/>
      </patternFill>
    </fill>
    <fill>
      <patternFill patternType="solid">
        <fgColor theme="9" tint="0.39997558519241921"/>
        <bgColor indexed="64"/>
      </patternFill>
    </fill>
    <fill>
      <patternFill patternType="solid">
        <fgColor theme="3" tint="0.79998168889431442"/>
        <bgColor indexed="64"/>
      </patternFill>
    </fill>
    <fill>
      <gradientFill degree="90">
        <stop position="0">
          <color theme="0"/>
        </stop>
        <stop position="0.5">
          <color theme="0" tint="-0.25098422193060094"/>
        </stop>
        <stop position="1">
          <color theme="0"/>
        </stop>
      </gradientFill>
    </fill>
    <fill>
      <patternFill patternType="solid">
        <fgColor theme="8" tint="0.79998168889431442"/>
        <bgColor indexed="64"/>
      </patternFill>
    </fill>
    <fill>
      <patternFill patternType="solid">
        <fgColor rgb="FF98F20F"/>
        <bgColor indexed="64"/>
      </patternFill>
    </fill>
    <fill>
      <patternFill patternType="solid">
        <fgColor rgb="FFFFFFCC"/>
        <bgColor indexed="64"/>
      </patternFill>
    </fill>
    <fill>
      <patternFill patternType="solid">
        <fgColor rgb="FFFFFFFF"/>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2" tint="-9.9978637043366805E-2"/>
        <bgColor indexed="64"/>
      </patternFill>
    </fill>
    <fill>
      <patternFill patternType="solid">
        <fgColor rgb="FFFF66FF"/>
        <bgColor indexed="64"/>
      </patternFill>
    </fill>
    <fill>
      <patternFill patternType="solid">
        <fgColor theme="0"/>
        <bgColor auto="1"/>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6"/>
      </patternFill>
    </fill>
    <fill>
      <patternFill patternType="solid">
        <fgColor indexed="22"/>
      </patternFill>
    </fill>
    <fill>
      <patternFill patternType="solid">
        <fgColor indexed="43"/>
      </patternFill>
    </fill>
    <fill>
      <patternFill patternType="solid">
        <fgColor indexed="55"/>
      </patternFill>
    </fill>
    <fill>
      <patternFill patternType="solid">
        <fgColor rgb="FFFF99CC"/>
        <bgColor indexed="64"/>
      </patternFill>
    </fill>
    <fill>
      <patternFill patternType="solid">
        <fgColor rgb="FFFFCCCC"/>
        <bgColor indexed="64"/>
      </patternFill>
    </fill>
    <fill>
      <patternFill patternType="solid">
        <fgColor rgb="FFFF66CC"/>
        <bgColor indexed="64"/>
      </patternFill>
    </fill>
    <fill>
      <gradientFill degree="90">
        <stop position="0">
          <color rgb="FFFFC000"/>
        </stop>
        <stop position="0.5">
          <color theme="0"/>
        </stop>
        <stop position="1">
          <color rgb="FFFFC000"/>
        </stop>
      </gradientFill>
    </fill>
    <fill>
      <gradientFill degree="90">
        <stop position="0">
          <color theme="7" tint="-0.25098422193060094"/>
        </stop>
        <stop position="0.5">
          <color theme="0"/>
        </stop>
        <stop position="1">
          <color theme="7" tint="-0.25098422193060094"/>
        </stop>
      </gradientFill>
    </fill>
    <fill>
      <gradientFill degree="90">
        <stop position="0">
          <color theme="0" tint="-0.34900967436750391"/>
        </stop>
        <stop position="0.5">
          <color theme="0"/>
        </stop>
        <stop position="1">
          <color theme="0" tint="-0.34900967436750391"/>
        </stop>
      </gradientFill>
    </fill>
    <fill>
      <gradientFill degree="90">
        <stop position="0">
          <color theme="3" tint="0.40000610370189521"/>
        </stop>
        <stop position="0.5">
          <color theme="0"/>
        </stop>
        <stop position="1">
          <color theme="3" tint="0.40000610370189521"/>
        </stop>
      </gradientFill>
    </fill>
    <fill>
      <gradientFill degree="90">
        <stop position="0">
          <color theme="8" tint="0.40000610370189521"/>
        </stop>
        <stop position="0.5">
          <color theme="0"/>
        </stop>
        <stop position="1">
          <color theme="8" tint="0.40000610370189521"/>
        </stop>
      </gradientFill>
    </fill>
    <fill>
      <patternFill patternType="solid">
        <fgColor theme="4" tint="0.59999389629810485"/>
        <bgColor indexed="64"/>
      </patternFill>
    </fill>
    <fill>
      <gradientFill degree="90">
        <stop position="0">
          <color theme="6" tint="0.40000610370189521"/>
        </stop>
        <stop position="0.5">
          <color theme="0"/>
        </stop>
        <stop position="1">
          <color theme="6" tint="0.40000610370189521"/>
        </stop>
      </gradientFill>
    </fill>
    <fill>
      <gradientFill degree="90">
        <stop position="0">
          <color theme="2" tint="-0.25098422193060094"/>
        </stop>
        <stop position="0.5">
          <color theme="0"/>
        </stop>
        <stop position="1">
          <color theme="2" tint="-0.25098422193060094"/>
        </stop>
      </gradientFill>
    </fill>
    <fill>
      <patternFill patternType="solid">
        <fgColor theme="5" tint="0.79998168889431442"/>
        <bgColor indexed="64"/>
      </patternFill>
    </fill>
    <fill>
      <gradientFill degree="90">
        <stop position="0">
          <color rgb="FF42E919"/>
        </stop>
        <stop position="0.5">
          <color theme="0"/>
        </stop>
        <stop position="1">
          <color rgb="FF42E919"/>
        </stop>
      </gradientFill>
    </fill>
    <fill>
      <gradientFill degree="90">
        <stop position="0">
          <color theme="9" tint="-0.25098422193060094"/>
        </stop>
        <stop position="0.5">
          <color theme="0"/>
        </stop>
        <stop position="1">
          <color theme="9" tint="-0.25098422193060094"/>
        </stop>
      </gradientFill>
    </fill>
    <fill>
      <gradientFill degree="90">
        <stop position="0">
          <color theme="9"/>
        </stop>
        <stop position="0.5">
          <color theme="0"/>
        </stop>
        <stop position="1">
          <color theme="9"/>
        </stop>
      </gradientFill>
    </fill>
    <fill>
      <gradientFill degree="90">
        <stop position="0">
          <color rgb="FFFFCCFF"/>
        </stop>
        <stop position="0.5">
          <color theme="0"/>
        </stop>
        <stop position="1">
          <color rgb="FFFFCCFF"/>
        </stop>
      </gradientFill>
    </fill>
    <fill>
      <gradientFill degree="90">
        <stop position="0">
          <color rgb="FFFF66FF"/>
        </stop>
        <stop position="0.5">
          <color theme="0"/>
        </stop>
        <stop position="1">
          <color rgb="FFFF66FF"/>
        </stop>
      </gradientFill>
    </fill>
    <fill>
      <gradientFill degree="90">
        <stop position="0">
          <color rgb="FFFF99CC"/>
        </stop>
        <stop position="0.5">
          <color theme="0"/>
        </stop>
        <stop position="1">
          <color rgb="FFFF99CC"/>
        </stop>
      </gradientFill>
    </fill>
    <fill>
      <gradientFill degree="90">
        <stop position="0">
          <color rgb="FFFFCCCC"/>
        </stop>
        <stop position="0.5">
          <color theme="0"/>
        </stop>
        <stop position="1">
          <color rgb="FFFFCCCC"/>
        </stop>
      </gradientFill>
    </fill>
    <fill>
      <gradientFill degree="90">
        <stop position="0">
          <color theme="2" tint="-9.8025452436902985E-2"/>
        </stop>
        <stop position="0.5">
          <color theme="0"/>
        </stop>
        <stop position="1">
          <color theme="2" tint="-9.8025452436902985E-2"/>
        </stop>
      </gradientFill>
    </fill>
    <fill>
      <gradientFill degree="90">
        <stop position="0">
          <color rgb="FF98F20F"/>
        </stop>
        <stop position="0.5">
          <color theme="0"/>
        </stop>
        <stop position="1">
          <color rgb="FF98F20F"/>
        </stop>
      </gradientFill>
    </fill>
    <fill>
      <gradientFill degree="90">
        <stop position="0">
          <color theme="7" tint="0.40000610370189521"/>
        </stop>
        <stop position="0.5">
          <color theme="0"/>
        </stop>
        <stop position="1">
          <color theme="7" tint="0.40000610370189521"/>
        </stop>
      </gradientFill>
    </fill>
    <fill>
      <gradientFill degree="90">
        <stop position="0">
          <color theme="0"/>
        </stop>
        <stop position="0.5">
          <color theme="7" tint="-0.25098422193060094"/>
        </stop>
        <stop position="1">
          <color theme="0"/>
        </stop>
      </gradientFill>
    </fill>
    <fill>
      <gradientFill degree="90">
        <stop position="0">
          <color rgb="FF92D050"/>
        </stop>
        <stop position="0.5">
          <color theme="0"/>
        </stop>
        <stop position="1">
          <color rgb="FF92D050"/>
        </stop>
      </gradientFill>
    </fill>
    <fill>
      <gradientFill degree="90">
        <stop position="0">
          <color theme="7"/>
        </stop>
        <stop position="0.5">
          <color theme="0"/>
        </stop>
        <stop position="1">
          <color theme="7"/>
        </stop>
      </gradientFill>
    </fill>
    <fill>
      <patternFill patternType="solid">
        <fgColor rgb="FFFF99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bottom style="thin">
        <color indexed="64"/>
      </bottom>
      <diagonal/>
    </border>
    <border>
      <left/>
      <right/>
      <top style="hair">
        <color indexed="64"/>
      </top>
      <bottom style="hair">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double">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bottom style="hair">
        <color auto="1"/>
      </bottom>
      <diagonal/>
    </border>
    <border>
      <left/>
      <right style="thin">
        <color indexed="64"/>
      </right>
      <top/>
      <bottom style="hair">
        <color indexed="64"/>
      </bottom>
      <diagonal/>
    </border>
    <border>
      <left style="medium">
        <color indexed="64"/>
      </left>
      <right style="medium">
        <color indexed="64"/>
      </right>
      <top/>
      <bottom/>
      <diagonal/>
    </border>
    <border>
      <left style="thin">
        <color indexed="64"/>
      </left>
      <right style="thin">
        <color indexed="64"/>
      </right>
      <top style="thin">
        <color indexed="64"/>
      </top>
      <bottom style="double">
        <color indexed="64"/>
      </bottom>
      <diagonal/>
    </border>
    <border>
      <left style="thin">
        <color indexed="64"/>
      </left>
      <right/>
      <top/>
      <bottom style="hair">
        <color indexed="64"/>
      </bottom>
      <diagonal/>
    </border>
    <border>
      <left style="thin">
        <color indexed="64"/>
      </left>
      <right/>
      <top style="hair">
        <color indexed="64"/>
      </top>
      <bottom style="double">
        <color indexed="64"/>
      </bottom>
      <diagonal/>
    </border>
    <border>
      <left/>
      <right style="thin">
        <color indexed="64"/>
      </right>
      <top style="hair">
        <color indexed="64"/>
      </top>
      <bottom style="double">
        <color indexed="64"/>
      </bottom>
      <diagonal/>
    </border>
    <border>
      <left style="hair">
        <color indexed="64"/>
      </left>
      <right/>
      <top style="hair">
        <color indexed="64"/>
      </top>
      <bottom style="hair">
        <color indexed="64"/>
      </bottom>
      <diagonal/>
    </border>
    <border>
      <left/>
      <right style="hair">
        <color auto="1"/>
      </right>
      <top style="hair">
        <color auto="1"/>
      </top>
      <bottom/>
      <diagonal/>
    </border>
    <border>
      <left/>
      <right style="hair">
        <color auto="1"/>
      </right>
      <top style="hair">
        <color auto="1"/>
      </top>
      <bottom style="hair">
        <color auto="1"/>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hair">
        <color indexed="64"/>
      </left>
      <right style="hair">
        <color indexed="64"/>
      </right>
      <top style="hair">
        <color indexed="64"/>
      </top>
      <bottom style="thin">
        <color indexed="64"/>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style="hair">
        <color auto="1"/>
      </left>
      <right style="hair">
        <color auto="1"/>
      </right>
      <top/>
      <bottom/>
      <diagonal/>
    </border>
    <border>
      <left style="hair">
        <color auto="1"/>
      </left>
      <right style="hair">
        <color auto="1"/>
      </right>
      <top style="hair">
        <color auto="1"/>
      </top>
      <bottom style="hair">
        <color auto="1"/>
      </bottom>
      <diagonal/>
    </border>
    <border>
      <left/>
      <right style="hair">
        <color auto="1"/>
      </right>
      <top/>
      <bottom/>
      <diagonal/>
    </border>
    <border>
      <left style="hair">
        <color indexed="64"/>
      </left>
      <right style="hair">
        <color indexed="64"/>
      </right>
      <top/>
      <bottom style="thin">
        <color indexed="64"/>
      </bottom>
      <diagonal/>
    </border>
    <border>
      <left style="thick">
        <color rgb="FF00B050"/>
      </left>
      <right style="thick">
        <color rgb="FF00B050"/>
      </right>
      <top style="thick">
        <color rgb="FF00B050"/>
      </top>
      <bottom/>
      <diagonal/>
    </border>
    <border>
      <left style="thick">
        <color rgb="FF00B050"/>
      </left>
      <right style="thick">
        <color rgb="FF00B050"/>
      </right>
      <top style="thin">
        <color indexed="64"/>
      </top>
      <bottom style="thin">
        <color indexed="64"/>
      </bottom>
      <diagonal/>
    </border>
    <border>
      <left style="thick">
        <color rgb="FF00B050"/>
      </left>
      <right style="thick">
        <color rgb="FF00B050"/>
      </right>
      <top style="thin">
        <color indexed="64"/>
      </top>
      <bottom style="thick">
        <color rgb="FF00B050"/>
      </bottom>
      <diagonal/>
    </border>
    <border>
      <left style="thin">
        <color indexed="64"/>
      </left>
      <right style="thin">
        <color indexed="64"/>
      </right>
      <top/>
      <bottom style="double">
        <color indexed="64"/>
      </bottom>
      <diagonal/>
    </border>
    <border>
      <left/>
      <right style="thick">
        <color rgb="FF00B050"/>
      </right>
      <top style="hair">
        <color indexed="64"/>
      </top>
      <bottom style="hair">
        <color indexed="64"/>
      </bottom>
      <diagonal/>
    </border>
    <border>
      <left style="thick">
        <color theme="8"/>
      </left>
      <right/>
      <top style="thick">
        <color theme="8"/>
      </top>
      <bottom style="hair">
        <color indexed="64"/>
      </bottom>
      <diagonal/>
    </border>
    <border>
      <left/>
      <right style="thick">
        <color theme="8"/>
      </right>
      <top style="thick">
        <color theme="8"/>
      </top>
      <bottom/>
      <diagonal/>
    </border>
    <border>
      <left style="thick">
        <color theme="8"/>
      </left>
      <right/>
      <top style="hair">
        <color indexed="64"/>
      </top>
      <bottom style="hair">
        <color indexed="64"/>
      </bottom>
      <diagonal/>
    </border>
    <border>
      <left style="thin">
        <color indexed="64"/>
      </left>
      <right style="thick">
        <color theme="8"/>
      </right>
      <top style="thin">
        <color indexed="64"/>
      </top>
      <bottom style="thin">
        <color indexed="64"/>
      </bottom>
      <diagonal/>
    </border>
    <border>
      <left style="thick">
        <color theme="8"/>
      </left>
      <right/>
      <top style="hair">
        <color indexed="64"/>
      </top>
      <bottom style="thick">
        <color theme="8"/>
      </bottom>
      <diagonal/>
    </border>
    <border>
      <left style="thin">
        <color indexed="64"/>
      </left>
      <right style="thick">
        <color theme="8"/>
      </right>
      <top style="thin">
        <color indexed="64"/>
      </top>
      <bottom style="thick">
        <color theme="8"/>
      </bottom>
      <diagonal/>
    </border>
    <border>
      <left/>
      <right/>
      <top style="hair">
        <color indexed="64"/>
      </top>
      <bottom/>
      <diagonal/>
    </border>
    <border>
      <left style="thick">
        <color theme="8"/>
      </left>
      <right/>
      <top style="thick">
        <color theme="8"/>
      </top>
      <bottom style="thick">
        <color theme="8"/>
      </bottom>
      <diagonal/>
    </border>
    <border>
      <left style="thin">
        <color indexed="64"/>
      </left>
      <right style="thick">
        <color theme="8"/>
      </right>
      <top style="thick">
        <color theme="8"/>
      </top>
      <bottom style="thick">
        <color theme="8"/>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style="thin">
        <color indexed="63"/>
      </left>
      <right style="thin">
        <color indexed="63"/>
      </right>
      <top style="thin">
        <color indexed="63"/>
      </top>
      <bottom style="thin">
        <color indexed="63"/>
      </bottom>
      <diagonal/>
    </border>
    <border>
      <left style="hair">
        <color indexed="64"/>
      </left>
      <right style="thin">
        <color indexed="64"/>
      </right>
      <top style="hair">
        <color indexed="64"/>
      </top>
      <bottom style="hair">
        <color indexed="64"/>
      </bottom>
      <diagonal/>
    </border>
    <border>
      <left style="hair">
        <color auto="1"/>
      </left>
      <right style="medium">
        <color indexed="64"/>
      </right>
      <top style="medium">
        <color indexed="64"/>
      </top>
      <bottom style="hair">
        <color auto="1"/>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bottom/>
      <diagonal/>
    </border>
    <border>
      <left style="hair">
        <color indexed="64"/>
      </left>
      <right/>
      <top style="hair">
        <color indexed="64"/>
      </top>
      <bottom/>
      <diagonal/>
    </border>
    <border>
      <left/>
      <right style="thin">
        <color indexed="64"/>
      </right>
      <top style="hair">
        <color indexed="64"/>
      </top>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medium">
        <color indexed="64"/>
      </top>
      <bottom style="hair">
        <color indexed="64"/>
      </bottom>
      <diagonal/>
    </border>
    <border>
      <left style="double">
        <color rgb="FF00B0F0"/>
      </left>
      <right/>
      <top style="double">
        <color rgb="FF00B0F0"/>
      </top>
      <bottom/>
      <diagonal/>
    </border>
    <border>
      <left/>
      <right/>
      <top style="double">
        <color rgb="FF00B0F0"/>
      </top>
      <bottom/>
      <diagonal/>
    </border>
    <border>
      <left/>
      <right style="double">
        <color rgb="FF00B0F0"/>
      </right>
      <top style="double">
        <color rgb="FF00B0F0"/>
      </top>
      <bottom/>
      <diagonal/>
    </border>
    <border>
      <left style="double">
        <color rgb="FF00B0F0"/>
      </left>
      <right/>
      <top/>
      <bottom/>
      <diagonal/>
    </border>
    <border>
      <left/>
      <right style="double">
        <color rgb="FF00B0F0"/>
      </right>
      <top/>
      <bottom/>
      <diagonal/>
    </border>
    <border>
      <left style="double">
        <color rgb="FF00B0F0"/>
      </left>
      <right/>
      <top/>
      <bottom style="double">
        <color rgb="FF00B0F0"/>
      </bottom>
      <diagonal/>
    </border>
    <border>
      <left/>
      <right/>
      <top/>
      <bottom style="double">
        <color rgb="FF00B0F0"/>
      </bottom>
      <diagonal/>
    </border>
    <border>
      <left/>
      <right style="double">
        <color rgb="FF00B0F0"/>
      </right>
      <top/>
      <bottom style="double">
        <color rgb="FF00B0F0"/>
      </bottom>
      <diagonal/>
    </border>
    <border>
      <left style="double">
        <color rgb="FF00B050"/>
      </left>
      <right/>
      <top style="double">
        <color rgb="FF00B050"/>
      </top>
      <bottom/>
      <diagonal/>
    </border>
    <border>
      <left/>
      <right/>
      <top style="double">
        <color rgb="FF00B050"/>
      </top>
      <bottom/>
      <diagonal/>
    </border>
    <border>
      <left/>
      <right style="double">
        <color rgb="FF00B050"/>
      </right>
      <top style="double">
        <color rgb="FF00B050"/>
      </top>
      <bottom/>
      <diagonal/>
    </border>
    <border>
      <left style="double">
        <color rgb="FF00B050"/>
      </left>
      <right/>
      <top/>
      <bottom/>
      <diagonal/>
    </border>
    <border>
      <left/>
      <right style="double">
        <color rgb="FF00B050"/>
      </right>
      <top/>
      <bottom/>
      <diagonal/>
    </border>
    <border>
      <left style="double">
        <color rgb="FF00B050"/>
      </left>
      <right/>
      <top/>
      <bottom style="double">
        <color rgb="FF00B050"/>
      </bottom>
      <diagonal/>
    </border>
    <border>
      <left/>
      <right/>
      <top/>
      <bottom style="double">
        <color rgb="FF00B050"/>
      </bottom>
      <diagonal/>
    </border>
    <border>
      <left/>
      <right style="double">
        <color rgb="FF00B050"/>
      </right>
      <top/>
      <bottom style="double">
        <color rgb="FF00B050"/>
      </bottom>
      <diagonal/>
    </border>
  </borders>
  <cellStyleXfs count="49">
    <xf numFmtId="0" fontId="0" fillId="0" borderId="0"/>
    <xf numFmtId="9" fontId="1" fillId="0" borderId="0" applyFont="0" applyFill="0" applyBorder="0" applyAlignment="0" applyProtection="0"/>
    <xf numFmtId="0" fontId="1" fillId="0" borderId="0"/>
    <xf numFmtId="0" fontId="3" fillId="0" borderId="0"/>
    <xf numFmtId="0" fontId="27" fillId="0" borderId="0" applyNumberFormat="0" applyFill="0" applyBorder="0" applyAlignment="0" applyProtection="0"/>
    <xf numFmtId="0" fontId="43" fillId="0" borderId="0" applyNumberFormat="0" applyFill="0" applyBorder="0" applyAlignment="0" applyProtection="0">
      <alignment vertical="top"/>
      <protection locked="0"/>
    </xf>
    <xf numFmtId="0" fontId="65" fillId="27" borderId="0" applyNumberFormat="0" applyBorder="0" applyAlignment="0" applyProtection="0"/>
    <xf numFmtId="0" fontId="65" fillId="28" borderId="0" applyNumberFormat="0" applyBorder="0" applyAlignment="0" applyProtection="0"/>
    <xf numFmtId="0" fontId="65" fillId="29" borderId="0" applyNumberFormat="0" applyBorder="0" applyAlignment="0" applyProtection="0"/>
    <xf numFmtId="0" fontId="65" fillId="30" borderId="0" applyNumberFormat="0" applyBorder="0" applyAlignment="0" applyProtection="0"/>
    <xf numFmtId="0" fontId="65" fillId="31" borderId="0" applyNumberFormat="0" applyBorder="0" applyAlignment="0" applyProtection="0"/>
    <xf numFmtId="0" fontId="65" fillId="32" borderId="0" applyNumberFormat="0" applyBorder="0" applyAlignment="0" applyProtection="0"/>
    <xf numFmtId="0" fontId="65" fillId="33" borderId="0" applyNumberFormat="0" applyBorder="0" applyAlignment="0" applyProtection="0"/>
    <xf numFmtId="0" fontId="65" fillId="34" borderId="0" applyNumberFormat="0" applyBorder="0" applyAlignment="0" applyProtection="0"/>
    <xf numFmtId="0" fontId="65" fillId="35" borderId="0" applyNumberFormat="0" applyBorder="0" applyAlignment="0" applyProtection="0"/>
    <xf numFmtId="0" fontId="65" fillId="30" borderId="0" applyNumberFormat="0" applyBorder="0" applyAlignment="0" applyProtection="0"/>
    <xf numFmtId="0" fontId="65" fillId="33" borderId="0" applyNumberFormat="0" applyBorder="0" applyAlignment="0" applyProtection="0"/>
    <xf numFmtId="0" fontId="65" fillId="36" borderId="0" applyNumberFormat="0" applyBorder="0" applyAlignment="0" applyProtection="0"/>
    <xf numFmtId="0" fontId="66" fillId="37" borderId="0" applyNumberFormat="0" applyBorder="0" applyAlignment="0" applyProtection="0"/>
    <xf numFmtId="0" fontId="66" fillId="34" borderId="0" applyNumberFormat="0" applyBorder="0" applyAlignment="0" applyProtection="0"/>
    <xf numFmtId="0" fontId="66" fillId="35" borderId="0" applyNumberFormat="0" applyBorder="0" applyAlignment="0" applyProtection="0"/>
    <xf numFmtId="0" fontId="66" fillId="38" borderId="0" applyNumberFormat="0" applyBorder="0" applyAlignment="0" applyProtection="0"/>
    <xf numFmtId="0" fontId="66" fillId="39" borderId="0" applyNumberFormat="0" applyBorder="0" applyAlignment="0" applyProtection="0"/>
    <xf numFmtId="0" fontId="66" fillId="40" borderId="0" applyNumberFormat="0" applyBorder="0" applyAlignment="0" applyProtection="0"/>
    <xf numFmtId="0" fontId="66" fillId="41" borderId="0" applyNumberFormat="0" applyBorder="0" applyAlignment="0" applyProtection="0"/>
    <xf numFmtId="0" fontId="66" fillId="42" borderId="0" applyNumberFormat="0" applyBorder="0" applyAlignment="0" applyProtection="0"/>
    <xf numFmtId="0" fontId="66" fillId="43" borderId="0" applyNumberFormat="0" applyBorder="0" applyAlignment="0" applyProtection="0"/>
    <xf numFmtId="0" fontId="66" fillId="38" borderId="0" applyNumberFormat="0" applyBorder="0" applyAlignment="0" applyProtection="0"/>
    <xf numFmtId="0" fontId="66" fillId="39" borderId="0" applyNumberFormat="0" applyBorder="0" applyAlignment="0" applyProtection="0"/>
    <xf numFmtId="0" fontId="66" fillId="44" borderId="0" applyNumberFormat="0" applyBorder="0" applyAlignment="0" applyProtection="0"/>
    <xf numFmtId="0" fontId="3" fillId="45" borderId="74" applyNumberFormat="0" applyFont="0" applyAlignment="0" applyProtection="0"/>
    <xf numFmtId="0" fontId="67" fillId="28" borderId="0" applyNumberFormat="0" applyBorder="0" applyAlignment="0" applyProtection="0"/>
    <xf numFmtId="0" fontId="68" fillId="29" borderId="0" applyNumberFormat="0" applyBorder="0" applyAlignment="0" applyProtection="0"/>
    <xf numFmtId="0" fontId="69" fillId="46" borderId="75" applyNumberFormat="0" applyAlignment="0" applyProtection="0"/>
    <xf numFmtId="0" fontId="70" fillId="0" borderId="76" applyNumberFormat="0" applyFill="0" applyAlignment="0" applyProtection="0"/>
    <xf numFmtId="0" fontId="71" fillId="47" borderId="0" applyNumberFormat="0" applyBorder="0" applyAlignment="0" applyProtection="0"/>
    <xf numFmtId="0" fontId="72" fillId="0" borderId="0" applyNumberFormat="0" applyFill="0" applyBorder="0" applyAlignment="0" applyProtection="0"/>
    <xf numFmtId="0" fontId="73" fillId="0" borderId="77" applyNumberFormat="0" applyFill="0" applyAlignment="0" applyProtection="0"/>
    <xf numFmtId="0" fontId="74" fillId="0" borderId="78" applyNumberFormat="0" applyFill="0" applyAlignment="0" applyProtection="0"/>
    <xf numFmtId="0" fontId="75" fillId="0" borderId="79" applyNumberFormat="0" applyFill="0" applyAlignment="0" applyProtection="0"/>
    <xf numFmtId="0" fontId="75" fillId="0" borderId="0" applyNumberFormat="0" applyFill="0" applyBorder="0" applyAlignment="0" applyProtection="0"/>
    <xf numFmtId="9" fontId="3" fillId="0" borderId="0" applyFont="0" applyFill="0" applyBorder="0" applyAlignment="0" applyProtection="0"/>
    <xf numFmtId="0" fontId="76" fillId="0" borderId="0" applyNumberFormat="0" applyFill="0" applyBorder="0" applyAlignment="0" applyProtection="0"/>
    <xf numFmtId="0" fontId="77" fillId="0" borderId="80" applyNumberFormat="0" applyFill="0" applyAlignment="0" applyProtection="0"/>
    <xf numFmtId="0" fontId="78" fillId="32" borderId="75" applyNumberFormat="0" applyAlignment="0" applyProtection="0"/>
    <xf numFmtId="0" fontId="79" fillId="48" borderId="81" applyNumberFormat="0" applyAlignment="0" applyProtection="0"/>
    <xf numFmtId="0" fontId="80" fillId="46" borderId="82" applyNumberFormat="0" applyAlignment="0" applyProtection="0"/>
    <xf numFmtId="0" fontId="81" fillId="0" borderId="0" applyNumberFormat="0" applyFill="0" applyBorder="0" applyAlignment="0" applyProtection="0"/>
    <xf numFmtId="0" fontId="86" fillId="0" borderId="0"/>
  </cellStyleXfs>
  <cellXfs count="901">
    <xf numFmtId="0" fontId="0" fillId="0" borderId="0" xfId="0"/>
    <xf numFmtId="0" fontId="2" fillId="2" borderId="0" xfId="2" applyFont="1" applyFill="1"/>
    <xf numFmtId="0" fontId="2" fillId="3" borderId="0" xfId="2" applyFont="1" applyFill="1"/>
    <xf numFmtId="0" fontId="4" fillId="2" borderId="0" xfId="3" applyFont="1" applyFill="1"/>
    <xf numFmtId="0" fontId="5" fillId="2" borderId="0" xfId="3" applyFont="1" applyFill="1"/>
    <xf numFmtId="0" fontId="4" fillId="6" borderId="1" xfId="2" applyNumberFormat="1" applyFont="1" applyFill="1" applyBorder="1" applyAlignment="1" applyProtection="1">
      <alignment horizontal="center"/>
      <protection locked="0"/>
    </xf>
    <xf numFmtId="0" fontId="4" fillId="3" borderId="1" xfId="2" applyNumberFormat="1" applyFont="1" applyFill="1" applyBorder="1" applyAlignment="1" applyProtection="1">
      <alignment horizontal="center"/>
    </xf>
    <xf numFmtId="1" fontId="4" fillId="3" borderId="1" xfId="2" applyNumberFormat="1" applyFont="1" applyFill="1" applyBorder="1" applyAlignment="1" applyProtection="1">
      <alignment horizontal="center"/>
    </xf>
    <xf numFmtId="0" fontId="2" fillId="3" borderId="0" xfId="0" applyFont="1" applyFill="1" applyAlignment="1" applyProtection="1">
      <alignment horizontal="center"/>
    </xf>
    <xf numFmtId="0" fontId="2" fillId="7" borderId="1" xfId="0" applyFont="1" applyFill="1" applyBorder="1" applyAlignment="1" applyProtection="1">
      <alignment horizontal="center"/>
    </xf>
    <xf numFmtId="164" fontId="2" fillId="5" borderId="1" xfId="0" applyNumberFormat="1" applyFont="1" applyFill="1" applyBorder="1" applyAlignment="1" applyProtection="1">
      <alignment horizontal="center"/>
      <protection locked="0"/>
    </xf>
    <xf numFmtId="0" fontId="2" fillId="3" borderId="0" xfId="0" applyFont="1" applyFill="1" applyBorder="1" applyProtection="1"/>
    <xf numFmtId="0" fontId="0" fillId="3" borderId="0" xfId="0" applyFill="1"/>
    <xf numFmtId="0" fontId="0" fillId="2" borderId="0" xfId="0" applyFill="1"/>
    <xf numFmtId="0" fontId="4" fillId="3" borderId="7" xfId="0" applyFont="1" applyFill="1" applyBorder="1" applyAlignment="1" applyProtection="1"/>
    <xf numFmtId="9" fontId="2" fillId="5" borderId="1" xfId="1" applyFont="1" applyFill="1" applyBorder="1" applyAlignment="1" applyProtection="1">
      <alignment horizontal="center"/>
      <protection locked="0"/>
    </xf>
    <xf numFmtId="3" fontId="2" fillId="3" borderId="8" xfId="0" applyNumberFormat="1" applyFont="1" applyFill="1" applyBorder="1" applyAlignment="1" applyProtection="1">
      <alignment horizontal="center"/>
    </xf>
    <xf numFmtId="0" fontId="10" fillId="3" borderId="7" xfId="0" applyFont="1" applyFill="1" applyBorder="1" applyAlignment="1" applyProtection="1"/>
    <xf numFmtId="0" fontId="0" fillId="3" borderId="0" xfId="0" applyFill="1" applyAlignment="1">
      <alignment horizontal="center"/>
    </xf>
    <xf numFmtId="0" fontId="10" fillId="3" borderId="0" xfId="0" applyFont="1" applyFill="1" applyBorder="1" applyAlignment="1" applyProtection="1"/>
    <xf numFmtId="0" fontId="17" fillId="3" borderId="0" xfId="0" applyFont="1" applyFill="1" applyBorder="1" applyAlignment="1" applyProtection="1"/>
    <xf numFmtId="0" fontId="10" fillId="8" borderId="0" xfId="0" applyFont="1" applyFill="1" applyBorder="1" applyAlignment="1" applyProtection="1"/>
    <xf numFmtId="9" fontId="2" fillId="3" borderId="1" xfId="1" applyFont="1" applyFill="1" applyBorder="1" applyAlignment="1" applyProtection="1">
      <alignment horizontal="center"/>
    </xf>
    <xf numFmtId="9" fontId="2" fillId="12" borderId="1" xfId="1" applyFont="1" applyFill="1" applyBorder="1" applyAlignment="1" applyProtection="1">
      <alignment horizontal="center"/>
      <protection locked="0"/>
    </xf>
    <xf numFmtId="3" fontId="2" fillId="12" borderId="1" xfId="0" applyNumberFormat="1" applyFont="1" applyFill="1" applyBorder="1" applyAlignment="1" applyProtection="1">
      <alignment horizontal="center"/>
      <protection locked="0"/>
    </xf>
    <xf numFmtId="0" fontId="0" fillId="8" borderId="10" xfId="0" applyFill="1" applyBorder="1"/>
    <xf numFmtId="0" fontId="0" fillId="8" borderId="11" xfId="0" applyFill="1" applyBorder="1"/>
    <xf numFmtId="164" fontId="0" fillId="8" borderId="0" xfId="0" applyNumberFormat="1" applyFill="1" applyBorder="1"/>
    <xf numFmtId="0" fontId="0" fillId="8" borderId="13" xfId="0" applyFill="1" applyBorder="1"/>
    <xf numFmtId="164" fontId="0" fillId="8" borderId="15" xfId="0" applyNumberFormat="1" applyFill="1" applyBorder="1"/>
    <xf numFmtId="0" fontId="0" fillId="8" borderId="16" xfId="0" applyFill="1" applyBorder="1"/>
    <xf numFmtId="0" fontId="0" fillId="0" borderId="17" xfId="0" applyBorder="1"/>
    <xf numFmtId="1" fontId="2" fillId="5" borderId="1" xfId="0" applyNumberFormat="1" applyFont="1" applyFill="1" applyBorder="1" applyAlignment="1" applyProtection="1">
      <alignment horizontal="center"/>
      <protection locked="0"/>
    </xf>
    <xf numFmtId="167" fontId="2" fillId="12" borderId="1" xfId="0" applyNumberFormat="1" applyFont="1" applyFill="1" applyBorder="1" applyAlignment="1" applyProtection="1">
      <alignment horizontal="center"/>
      <protection locked="0"/>
    </xf>
    <xf numFmtId="0" fontId="10" fillId="3" borderId="0" xfId="0" applyFont="1" applyFill="1" applyBorder="1" applyAlignment="1" applyProtection="1">
      <alignment horizontal="center"/>
    </xf>
    <xf numFmtId="3" fontId="2" fillId="5" borderId="1" xfId="0" applyNumberFormat="1" applyFont="1" applyFill="1" applyBorder="1" applyAlignment="1" applyProtection="1">
      <alignment horizontal="center"/>
      <protection locked="0"/>
    </xf>
    <xf numFmtId="3" fontId="2" fillId="3" borderId="1" xfId="0" applyNumberFormat="1" applyFont="1" applyFill="1" applyBorder="1" applyAlignment="1" applyProtection="1">
      <alignment horizontal="center"/>
    </xf>
    <xf numFmtId="0" fontId="2" fillId="8" borderId="0" xfId="0" applyFont="1" applyFill="1"/>
    <xf numFmtId="0" fontId="30" fillId="3" borderId="0" xfId="0" applyFont="1" applyFill="1"/>
    <xf numFmtId="0" fontId="2" fillId="3" borderId="0" xfId="0" applyFont="1" applyFill="1"/>
    <xf numFmtId="1" fontId="30" fillId="3" borderId="0" xfId="0" applyNumberFormat="1" applyFont="1" applyFill="1" applyAlignment="1">
      <alignment horizontal="center"/>
    </xf>
    <xf numFmtId="0" fontId="30" fillId="8" borderId="0" xfId="0" applyFont="1" applyFill="1"/>
    <xf numFmtId="1" fontId="30" fillId="8" borderId="0" xfId="0" applyNumberFormat="1" applyFont="1" applyFill="1" applyAlignment="1">
      <alignment horizontal="center"/>
    </xf>
    <xf numFmtId="0" fontId="32" fillId="11" borderId="0" xfId="0" applyFont="1" applyFill="1"/>
    <xf numFmtId="0" fontId="2" fillId="0" borderId="0" xfId="0" applyFont="1"/>
    <xf numFmtId="9" fontId="2" fillId="0" borderId="0" xfId="0" applyNumberFormat="1" applyFont="1" applyAlignment="1">
      <alignment horizontal="right"/>
    </xf>
    <xf numFmtId="0" fontId="2" fillId="0" borderId="0" xfId="0" applyFont="1" applyAlignment="1">
      <alignment horizontal="right"/>
    </xf>
    <xf numFmtId="2" fontId="2" fillId="0" borderId="0" xfId="0" applyNumberFormat="1" applyFont="1" applyAlignment="1">
      <alignment horizontal="center"/>
    </xf>
    <xf numFmtId="0" fontId="2" fillId="9" borderId="0" xfId="0" applyFont="1" applyFill="1"/>
    <xf numFmtId="0" fontId="2" fillId="2" borderId="0" xfId="0" applyFont="1" applyFill="1"/>
    <xf numFmtId="0" fontId="34" fillId="3" borderId="0" xfId="0" applyFont="1" applyFill="1" applyAlignment="1">
      <alignment horizontal="center" wrapText="1"/>
    </xf>
    <xf numFmtId="0" fontId="33" fillId="3" borderId="0" xfId="0" applyFont="1" applyFill="1"/>
    <xf numFmtId="164" fontId="2" fillId="0" borderId="1" xfId="0" applyNumberFormat="1" applyFont="1" applyBorder="1" applyAlignment="1">
      <alignment horizontal="center"/>
    </xf>
    <xf numFmtId="3" fontId="2" fillId="0" borderId="1" xfId="0" applyNumberFormat="1" applyFont="1" applyBorder="1"/>
    <xf numFmtId="0" fontId="34" fillId="8" borderId="0" xfId="0" applyFont="1" applyFill="1" applyAlignment="1">
      <alignment horizontal="center" wrapText="1"/>
    </xf>
    <xf numFmtId="0" fontId="2" fillId="3" borderId="0" xfId="0" applyFont="1" applyFill="1" applyAlignment="1">
      <alignment horizontal="center"/>
    </xf>
    <xf numFmtId="0" fontId="2" fillId="3" borderId="0" xfId="0" applyFont="1" applyFill="1" applyAlignment="1">
      <alignment horizontal="right"/>
    </xf>
    <xf numFmtId="0" fontId="2" fillId="14" borderId="0" xfId="0" applyFont="1" applyFill="1"/>
    <xf numFmtId="0" fontId="2" fillId="15" borderId="0" xfId="0" applyFont="1" applyFill="1"/>
    <xf numFmtId="0" fontId="34" fillId="14" borderId="0" xfId="0" applyFont="1" applyFill="1" applyAlignment="1">
      <alignment horizontal="center" wrapText="1"/>
    </xf>
    <xf numFmtId="0" fontId="34" fillId="15" borderId="0" xfId="0" applyFont="1" applyFill="1" applyAlignment="1">
      <alignment horizontal="center" wrapText="1"/>
    </xf>
    <xf numFmtId="9" fontId="31" fillId="3" borderId="0" xfId="0" applyNumberFormat="1" applyFont="1" applyFill="1"/>
    <xf numFmtId="2" fontId="31" fillId="3" borderId="0" xfId="0" applyNumberFormat="1" applyFont="1" applyFill="1"/>
    <xf numFmtId="9" fontId="31" fillId="3" borderId="0" xfId="1" applyFont="1" applyFill="1" applyAlignment="1">
      <alignment horizontal="center"/>
    </xf>
    <xf numFmtId="2" fontId="31" fillId="14" borderId="0" xfId="0" applyNumberFormat="1" applyFont="1" applyFill="1"/>
    <xf numFmtId="9" fontId="31" fillId="14" borderId="0" xfId="1" applyFont="1" applyFill="1" applyAlignment="1">
      <alignment horizontal="center"/>
    </xf>
    <xf numFmtId="2" fontId="31" fillId="15" borderId="0" xfId="0" applyNumberFormat="1" applyFont="1" applyFill="1"/>
    <xf numFmtId="9" fontId="31" fillId="15" borderId="0" xfId="1" applyFont="1" applyFill="1" applyAlignment="1">
      <alignment horizontal="center"/>
    </xf>
    <xf numFmtId="9" fontId="2" fillId="3" borderId="0" xfId="0" applyNumberFormat="1" applyFont="1" applyFill="1"/>
    <xf numFmtId="166" fontId="2" fillId="3" borderId="0" xfId="1" applyNumberFormat="1" applyFont="1" applyFill="1" applyAlignment="1">
      <alignment horizontal="center"/>
    </xf>
    <xf numFmtId="166" fontId="2" fillId="14" borderId="0" xfId="1" applyNumberFormat="1" applyFont="1" applyFill="1" applyAlignment="1">
      <alignment horizontal="center"/>
    </xf>
    <xf numFmtId="166" fontId="2" fillId="15" borderId="0" xfId="1" applyNumberFormat="1" applyFont="1" applyFill="1" applyAlignment="1">
      <alignment horizontal="center"/>
    </xf>
    <xf numFmtId="0" fontId="34" fillId="0" borderId="0" xfId="0" applyFont="1"/>
    <xf numFmtId="9" fontId="2" fillId="3" borderId="0" xfId="0" applyNumberFormat="1" applyFont="1" applyFill="1" applyAlignment="1">
      <alignment horizontal="center"/>
    </xf>
    <xf numFmtId="0" fontId="34" fillId="0" borderId="0" xfId="0" applyFont="1" applyBorder="1" applyAlignment="1">
      <alignment horizontal="center" wrapText="1"/>
    </xf>
    <xf numFmtId="164" fontId="2" fillId="3" borderId="0" xfId="0" applyNumberFormat="1" applyFont="1" applyFill="1" applyBorder="1" applyAlignment="1" applyProtection="1">
      <alignment horizontal="center"/>
    </xf>
    <xf numFmtId="0" fontId="2" fillId="3" borderId="0" xfId="0" applyFont="1" applyFill="1" applyBorder="1" applyAlignment="1" applyProtection="1">
      <alignment horizontal="center"/>
    </xf>
    <xf numFmtId="0" fontId="31" fillId="3" borderId="0" xfId="0" applyFont="1" applyFill="1"/>
    <xf numFmtId="0" fontId="2" fillId="2" borderId="0" xfId="0" applyFont="1" applyFill="1" applyBorder="1" applyProtection="1"/>
    <xf numFmtId="0" fontId="2" fillId="2" borderId="0" xfId="0" applyFont="1" applyFill="1" applyBorder="1" applyAlignment="1" applyProtection="1">
      <alignment horizontal="center"/>
    </xf>
    <xf numFmtId="0" fontId="29" fillId="2" borderId="0" xfId="0" applyFont="1" applyFill="1" applyBorder="1" applyAlignment="1" applyProtection="1">
      <alignment horizontal="right"/>
    </xf>
    <xf numFmtId="0" fontId="2" fillId="2" borderId="0" xfId="0" applyFont="1" applyFill="1" applyAlignment="1">
      <alignment horizontal="right"/>
    </xf>
    <xf numFmtId="2" fontId="2" fillId="2" borderId="0" xfId="0" applyNumberFormat="1" applyFont="1" applyFill="1"/>
    <xf numFmtId="0" fontId="28" fillId="2" borderId="0" xfId="0" applyFont="1" applyFill="1"/>
    <xf numFmtId="9" fontId="28" fillId="2" borderId="0" xfId="0" applyNumberFormat="1" applyFont="1" applyFill="1"/>
    <xf numFmtId="3" fontId="2" fillId="12" borderId="6" xfId="0" applyNumberFormat="1" applyFont="1" applyFill="1" applyBorder="1" applyAlignment="1" applyProtection="1">
      <alignment horizontal="center"/>
      <protection locked="0"/>
    </xf>
    <xf numFmtId="3" fontId="2" fillId="3" borderId="34" xfId="0" applyNumberFormat="1" applyFont="1" applyFill="1" applyBorder="1" applyAlignment="1" applyProtection="1">
      <alignment horizontal="center"/>
    </xf>
    <xf numFmtId="3" fontId="2" fillId="5" borderId="6" xfId="0" applyNumberFormat="1" applyFont="1" applyFill="1" applyBorder="1" applyAlignment="1" applyProtection="1">
      <alignment horizontal="center"/>
      <protection locked="0"/>
    </xf>
    <xf numFmtId="0" fontId="33" fillId="16" borderId="0" xfId="0" applyFont="1" applyFill="1"/>
    <xf numFmtId="0" fontId="2" fillId="16" borderId="0" xfId="0" applyFont="1" applyFill="1"/>
    <xf numFmtId="3" fontId="2" fillId="3" borderId="0" xfId="0" applyNumberFormat="1" applyFont="1" applyFill="1"/>
    <xf numFmtId="9" fontId="2" fillId="3" borderId="0" xfId="0" applyNumberFormat="1" applyFont="1" applyFill="1" applyAlignment="1">
      <alignment horizontal="right"/>
    </xf>
    <xf numFmtId="2" fontId="2" fillId="3" borderId="0" xfId="0" applyNumberFormat="1" applyFont="1" applyFill="1" applyAlignment="1">
      <alignment horizontal="center"/>
    </xf>
    <xf numFmtId="0" fontId="2" fillId="3" borderId="0" xfId="0" applyFont="1" applyFill="1" applyAlignment="1">
      <alignment horizontal="center" vertical="center" wrapText="1"/>
    </xf>
    <xf numFmtId="0" fontId="2" fillId="2" borderId="0" xfId="2" applyFont="1" applyFill="1" applyAlignment="1">
      <alignment horizontal="right"/>
    </xf>
    <xf numFmtId="0" fontId="36" fillId="2" borderId="0" xfId="2" applyFont="1" applyFill="1"/>
    <xf numFmtId="3" fontId="2" fillId="3" borderId="6" xfId="0" applyNumberFormat="1" applyFont="1" applyFill="1" applyBorder="1" applyAlignment="1" applyProtection="1">
      <alignment horizontal="center"/>
    </xf>
    <xf numFmtId="0" fontId="36" fillId="0" borderId="0" xfId="0" applyFont="1"/>
    <xf numFmtId="0" fontId="7" fillId="2" borderId="0" xfId="0" applyFont="1" applyFill="1" applyAlignment="1" applyProtection="1">
      <alignment horizontal="right" vertical="center"/>
    </xf>
    <xf numFmtId="0" fontId="35" fillId="2" borderId="0" xfId="4" applyFont="1" applyFill="1" applyAlignment="1" applyProtection="1">
      <alignment vertical="center"/>
    </xf>
    <xf numFmtId="0" fontId="7" fillId="2" borderId="0" xfId="0" applyFont="1" applyFill="1" applyAlignment="1" applyProtection="1">
      <alignment vertical="center"/>
    </xf>
    <xf numFmtId="14" fontId="8" fillId="2" borderId="0" xfId="0" applyNumberFormat="1" applyFont="1" applyFill="1" applyAlignment="1" applyProtection="1">
      <alignment horizontal="center" vertical="center"/>
    </xf>
    <xf numFmtId="0" fontId="0" fillId="3" borderId="0" xfId="0" applyFill="1" applyProtection="1"/>
    <xf numFmtId="0" fontId="0" fillId="3" borderId="0" xfId="0" applyFill="1" applyAlignment="1" applyProtection="1">
      <alignment horizontal="center"/>
    </xf>
    <xf numFmtId="0" fontId="0" fillId="0" borderId="0" xfId="0" applyProtection="1"/>
    <xf numFmtId="0" fontId="19" fillId="3" borderId="0" xfId="0" applyFont="1" applyFill="1" applyProtection="1"/>
    <xf numFmtId="0" fontId="0" fillId="3" borderId="0" xfId="0" applyFill="1" applyAlignment="1" applyProtection="1">
      <alignment vertical="center"/>
    </xf>
    <xf numFmtId="0" fontId="0" fillId="17" borderId="38" xfId="0" applyFill="1" applyBorder="1" applyAlignment="1" applyProtection="1">
      <alignment horizontal="left" vertical="center"/>
    </xf>
    <xf numFmtId="1" fontId="0" fillId="5" borderId="39" xfId="0" applyNumberFormat="1" applyFill="1" applyBorder="1" applyAlignment="1" applyProtection="1">
      <alignment horizontal="center" vertical="center"/>
      <protection locked="0"/>
    </xf>
    <xf numFmtId="0" fontId="0" fillId="0" borderId="0" xfId="0" applyBorder="1" applyProtection="1"/>
    <xf numFmtId="0" fontId="8" fillId="17" borderId="38" xfId="0" applyFont="1" applyFill="1" applyBorder="1" applyAlignment="1" applyProtection="1">
      <alignment horizontal="left" vertical="center" wrapText="1"/>
    </xf>
    <xf numFmtId="1" fontId="0" fillId="5" borderId="40" xfId="0" applyNumberFormat="1" applyFill="1" applyBorder="1" applyAlignment="1" applyProtection="1">
      <alignment horizontal="center" vertical="center"/>
      <protection locked="0"/>
    </xf>
    <xf numFmtId="14" fontId="0" fillId="5" borderId="40" xfId="0" applyNumberFormat="1" applyFill="1" applyBorder="1" applyAlignment="1" applyProtection="1">
      <alignment horizontal="center" vertical="center"/>
      <protection locked="0"/>
    </xf>
    <xf numFmtId="0" fontId="30" fillId="8" borderId="0" xfId="0" applyFont="1" applyFill="1" applyAlignment="1" applyProtection="1">
      <alignment horizontal="center" vertical="center"/>
    </xf>
    <xf numFmtId="0" fontId="0" fillId="0" borderId="0" xfId="0" applyAlignment="1" applyProtection="1">
      <alignment vertical="center"/>
    </xf>
    <xf numFmtId="0" fontId="0" fillId="17" borderId="38" xfId="0" applyFont="1" applyFill="1" applyBorder="1" applyAlignment="1" applyProtection="1">
      <alignment horizontal="left" vertical="center"/>
    </xf>
    <xf numFmtId="0" fontId="0" fillId="3" borderId="0" xfId="0" applyFill="1" applyBorder="1" applyAlignment="1" applyProtection="1">
      <alignment vertical="center"/>
    </xf>
    <xf numFmtId="0" fontId="0" fillId="0" borderId="0" xfId="0" applyAlignment="1" applyProtection="1">
      <alignment horizontal="center"/>
    </xf>
    <xf numFmtId="0" fontId="0" fillId="3" borderId="0" xfId="0" applyFill="1" applyAlignment="1">
      <alignment horizontal="left" vertical="center" indent="2" readingOrder="1"/>
    </xf>
    <xf numFmtId="0" fontId="21" fillId="3" borderId="0" xfId="0" applyFont="1" applyFill="1" applyAlignment="1">
      <alignment horizontal="left" vertical="center"/>
    </xf>
    <xf numFmtId="0" fontId="15" fillId="3" borderId="0" xfId="0" applyFont="1" applyFill="1"/>
    <xf numFmtId="0" fontId="19" fillId="3" borderId="0" xfId="0" applyFont="1" applyFill="1" applyAlignment="1">
      <alignment horizontal="left" vertical="center"/>
    </xf>
    <xf numFmtId="0" fontId="10" fillId="8" borderId="0" xfId="0" applyFont="1" applyFill="1" applyBorder="1" applyAlignment="1" applyProtection="1">
      <alignment horizontal="center"/>
    </xf>
    <xf numFmtId="3" fontId="2" fillId="3" borderId="0" xfId="0" applyNumberFormat="1" applyFont="1" applyFill="1" applyBorder="1" applyAlignment="1" applyProtection="1">
      <alignment horizontal="center"/>
    </xf>
    <xf numFmtId="168" fontId="2" fillId="3" borderId="1" xfId="0" applyNumberFormat="1" applyFont="1" applyFill="1" applyBorder="1" applyAlignment="1" applyProtection="1">
      <alignment horizontal="center"/>
    </xf>
    <xf numFmtId="3" fontId="2" fillId="3" borderId="25" xfId="0" applyNumberFormat="1" applyFont="1" applyFill="1" applyBorder="1" applyAlignment="1" applyProtection="1">
      <alignment horizontal="center"/>
    </xf>
    <xf numFmtId="0" fontId="30" fillId="3" borderId="0" xfId="0" applyFont="1" applyFill="1" applyAlignment="1">
      <alignment horizontal="left" vertical="center" wrapText="1"/>
    </xf>
    <xf numFmtId="0" fontId="31" fillId="8" borderId="0" xfId="0" applyFont="1" applyFill="1"/>
    <xf numFmtId="0" fontId="38" fillId="3" borderId="7" xfId="0" applyFont="1" applyFill="1" applyBorder="1" applyAlignment="1" applyProtection="1">
      <alignment horizontal="right"/>
    </xf>
    <xf numFmtId="0" fontId="2" fillId="2" borderId="0" xfId="2" applyFont="1" applyFill="1" applyAlignment="1">
      <alignment horizontal="center"/>
    </xf>
    <xf numFmtId="0" fontId="4" fillId="3" borderId="0" xfId="3" applyFont="1" applyFill="1"/>
    <xf numFmtId="0" fontId="39" fillId="3" borderId="0" xfId="3" applyFont="1" applyFill="1"/>
    <xf numFmtId="0" fontId="40" fillId="3" borderId="0" xfId="2" applyNumberFormat="1" applyFont="1" applyFill="1" applyBorder="1" applyAlignment="1" applyProtection="1"/>
    <xf numFmtId="0" fontId="10" fillId="3" borderId="0" xfId="2" applyNumberFormat="1" applyFont="1" applyFill="1" applyBorder="1" applyAlignment="1" applyProtection="1">
      <alignment horizontal="center" vertical="center" wrapText="1"/>
    </xf>
    <xf numFmtId="0" fontId="30" fillId="3" borderId="0" xfId="2" applyFont="1" applyFill="1"/>
    <xf numFmtId="2" fontId="10" fillId="3" borderId="0" xfId="2" applyNumberFormat="1" applyFont="1" applyFill="1" applyBorder="1" applyAlignment="1" applyProtection="1">
      <alignment horizontal="center" vertical="center" wrapText="1"/>
    </xf>
    <xf numFmtId="2" fontId="4" fillId="3" borderId="0" xfId="2" applyNumberFormat="1" applyFont="1" applyFill="1" applyBorder="1" applyAlignment="1" applyProtection="1">
      <alignment horizontal="center"/>
    </xf>
    <xf numFmtId="1" fontId="40" fillId="3" borderId="0" xfId="2" applyNumberFormat="1" applyFont="1" applyFill="1" applyBorder="1" applyAlignment="1" applyProtection="1">
      <alignment horizontal="center"/>
    </xf>
    <xf numFmtId="0" fontId="4" fillId="3" borderId="0" xfId="2" applyNumberFormat="1" applyFont="1" applyFill="1" applyBorder="1" applyAlignment="1" applyProtection="1">
      <alignment horizontal="center" vertical="center" wrapText="1"/>
    </xf>
    <xf numFmtId="0" fontId="40" fillId="6" borderId="25" xfId="2" applyNumberFormat="1" applyFont="1" applyFill="1" applyBorder="1" applyAlignment="1" applyProtection="1">
      <alignment horizontal="center"/>
      <protection locked="0"/>
    </xf>
    <xf numFmtId="0" fontId="41" fillId="3" borderId="26" xfId="2" applyNumberFormat="1" applyFont="1" applyFill="1" applyBorder="1" applyAlignment="1" applyProtection="1"/>
    <xf numFmtId="0" fontId="4" fillId="3" borderId="27" xfId="2" applyNumberFormat="1" applyFont="1" applyFill="1" applyBorder="1" applyAlignment="1" applyProtection="1"/>
    <xf numFmtId="0" fontId="40" fillId="3" borderId="27" xfId="2" applyNumberFormat="1" applyFont="1" applyFill="1" applyBorder="1" applyAlignment="1" applyProtection="1"/>
    <xf numFmtId="0" fontId="41" fillId="3" borderId="27" xfId="2" applyNumberFormat="1" applyFont="1" applyFill="1" applyBorder="1" applyAlignment="1" applyProtection="1"/>
    <xf numFmtId="0" fontId="4" fillId="3" borderId="28" xfId="2" applyNumberFormat="1" applyFont="1" applyFill="1" applyBorder="1" applyAlignment="1" applyProtection="1"/>
    <xf numFmtId="0" fontId="4" fillId="3" borderId="12" xfId="2" applyNumberFormat="1" applyFont="1" applyFill="1" applyBorder="1" applyAlignment="1" applyProtection="1"/>
    <xf numFmtId="0" fontId="4" fillId="3" borderId="0" xfId="2" applyNumberFormat="1" applyFont="1" applyFill="1" applyBorder="1" applyAlignment="1" applyProtection="1"/>
    <xf numFmtId="1" fontId="4" fillId="3" borderId="0" xfId="2" applyNumberFormat="1" applyFont="1" applyFill="1" applyBorder="1" applyAlignment="1" applyProtection="1"/>
    <xf numFmtId="0" fontId="41" fillId="3" borderId="0" xfId="2" applyNumberFormat="1" applyFont="1" applyFill="1" applyBorder="1" applyAlignment="1" applyProtection="1"/>
    <xf numFmtId="0" fontId="4" fillId="3" borderId="13" xfId="2" applyNumberFormat="1" applyFont="1" applyFill="1" applyBorder="1" applyAlignment="1" applyProtection="1"/>
    <xf numFmtId="0" fontId="4" fillId="3" borderId="0" xfId="2" applyNumberFormat="1" applyFont="1" applyFill="1" applyBorder="1" applyAlignment="1" applyProtection="1">
      <alignment horizontal="right"/>
    </xf>
    <xf numFmtId="1" fontId="4" fillId="3" borderId="0" xfId="2" applyNumberFormat="1" applyFont="1" applyFill="1" applyBorder="1" applyAlignment="1" applyProtection="1">
      <alignment horizontal="right"/>
    </xf>
    <xf numFmtId="0" fontId="4" fillId="3" borderId="13" xfId="2" applyNumberFormat="1" applyFont="1" applyFill="1" applyBorder="1" applyAlignment="1" applyProtection="1">
      <alignment horizontal="right"/>
    </xf>
    <xf numFmtId="1" fontId="42" fillId="3" borderId="0" xfId="2" applyNumberFormat="1" applyFont="1" applyFill="1" applyBorder="1" applyAlignment="1" applyProtection="1"/>
    <xf numFmtId="0" fontId="41" fillId="3" borderId="14" xfId="2" applyNumberFormat="1" applyFont="1" applyFill="1" applyBorder="1" applyAlignment="1" applyProtection="1"/>
    <xf numFmtId="0" fontId="4" fillId="3" borderId="15" xfId="2" applyNumberFormat="1" applyFont="1" applyFill="1" applyBorder="1" applyAlignment="1" applyProtection="1"/>
    <xf numFmtId="3" fontId="41" fillId="10" borderId="15" xfId="2" applyNumberFormat="1" applyFont="1" applyFill="1" applyBorder="1" applyAlignment="1" applyProtection="1"/>
    <xf numFmtId="1" fontId="42" fillId="3" borderId="15" xfId="2" applyNumberFormat="1" applyFont="1" applyFill="1" applyBorder="1" applyAlignment="1" applyProtection="1"/>
    <xf numFmtId="1" fontId="4" fillId="3" borderId="15" xfId="2" applyNumberFormat="1" applyFont="1" applyFill="1" applyBorder="1" applyAlignment="1" applyProtection="1"/>
    <xf numFmtId="0" fontId="4" fillId="3" borderId="16" xfId="2" applyNumberFormat="1" applyFont="1" applyFill="1" applyBorder="1" applyAlignment="1" applyProtection="1"/>
    <xf numFmtId="0" fontId="4" fillId="8" borderId="25" xfId="2" applyNumberFormat="1" applyFont="1" applyFill="1" applyBorder="1" applyAlignment="1" applyProtection="1">
      <alignment horizontal="center"/>
      <protection locked="0"/>
    </xf>
    <xf numFmtId="9" fontId="4" fillId="8" borderId="25" xfId="1" applyFont="1" applyFill="1" applyBorder="1" applyAlignment="1" applyProtection="1">
      <alignment horizontal="center"/>
      <protection locked="0"/>
    </xf>
    <xf numFmtId="2" fontId="40" fillId="3" borderId="0" xfId="2" applyNumberFormat="1" applyFont="1" applyFill="1" applyBorder="1" applyAlignment="1" applyProtection="1">
      <alignment horizontal="center"/>
    </xf>
    <xf numFmtId="0" fontId="40" fillId="8" borderId="25" xfId="2" applyNumberFormat="1" applyFont="1" applyFill="1" applyBorder="1" applyAlignment="1" applyProtection="1">
      <alignment horizontal="center"/>
      <protection locked="0"/>
    </xf>
    <xf numFmtId="164" fontId="4" fillId="3" borderId="0" xfId="2" applyNumberFormat="1" applyFont="1" applyFill="1" applyBorder="1" applyAlignment="1" applyProtection="1">
      <alignment horizontal="center"/>
    </xf>
    <xf numFmtId="0" fontId="45" fillId="3" borderId="0" xfId="5" applyNumberFormat="1" applyFont="1" applyFill="1" applyBorder="1" applyAlignment="1" applyProtection="1"/>
    <xf numFmtId="0" fontId="4" fillId="3" borderId="25" xfId="2" applyNumberFormat="1" applyFont="1" applyFill="1" applyBorder="1" applyAlignment="1" applyProtection="1">
      <alignment horizontal="center"/>
    </xf>
    <xf numFmtId="1" fontId="4" fillId="3" borderId="25" xfId="2" applyNumberFormat="1" applyFont="1" applyFill="1" applyBorder="1" applyAlignment="1" applyProtection="1">
      <alignment horizontal="center"/>
    </xf>
    <xf numFmtId="164" fontId="4" fillId="3" borderId="25" xfId="2" applyNumberFormat="1" applyFont="1" applyFill="1" applyBorder="1" applyAlignment="1" applyProtection="1">
      <alignment horizontal="center"/>
    </xf>
    <xf numFmtId="9" fontId="4" fillId="20" borderId="25" xfId="1" applyFont="1" applyFill="1" applyBorder="1" applyAlignment="1" applyProtection="1">
      <alignment horizontal="center"/>
      <protection locked="0"/>
    </xf>
    <xf numFmtId="3" fontId="4" fillId="3" borderId="0" xfId="2" applyNumberFormat="1" applyFont="1" applyFill="1" applyBorder="1" applyAlignment="1" applyProtection="1"/>
    <xf numFmtId="0" fontId="4" fillId="8" borderId="25" xfId="2" applyNumberFormat="1" applyFont="1" applyFill="1" applyBorder="1" applyAlignment="1" applyProtection="1">
      <alignment horizontal="center"/>
    </xf>
    <xf numFmtId="9" fontId="4" fillId="8" borderId="25" xfId="1" applyFont="1" applyFill="1" applyBorder="1" applyAlignment="1" applyProtection="1">
      <alignment horizontal="center"/>
    </xf>
    <xf numFmtId="0" fontId="0" fillId="8" borderId="0" xfId="0" applyFill="1"/>
    <xf numFmtId="9" fontId="2" fillId="4" borderId="1" xfId="1" applyFont="1" applyFill="1" applyBorder="1" applyAlignment="1">
      <alignment horizontal="center"/>
    </xf>
    <xf numFmtId="9" fontId="2" fillId="6" borderId="1" xfId="1" applyFont="1" applyFill="1" applyBorder="1" applyAlignment="1" applyProtection="1">
      <alignment horizontal="center"/>
      <protection locked="0"/>
    </xf>
    <xf numFmtId="3" fontId="2" fillId="18" borderId="0" xfId="0" applyNumberFormat="1" applyFont="1" applyFill="1" applyBorder="1" applyAlignment="1" applyProtection="1">
      <alignment horizontal="center"/>
    </xf>
    <xf numFmtId="0" fontId="34" fillId="14" borderId="0" xfId="0" applyFont="1" applyFill="1" applyAlignment="1">
      <alignment horizontal="left"/>
    </xf>
    <xf numFmtId="0" fontId="2" fillId="3" borderId="1" xfId="0" applyNumberFormat="1" applyFont="1" applyFill="1" applyBorder="1" applyAlignment="1" applyProtection="1">
      <alignment horizontal="center"/>
    </xf>
    <xf numFmtId="0" fontId="2" fillId="2" borderId="0" xfId="0" applyFont="1" applyFill="1" applyAlignment="1">
      <alignment horizontal="center"/>
    </xf>
    <xf numFmtId="0" fontId="2" fillId="0" borderId="0" xfId="0" applyFont="1" applyAlignment="1">
      <alignment horizontal="center"/>
    </xf>
    <xf numFmtId="3" fontId="31" fillId="3" borderId="1" xfId="0" applyNumberFormat="1" applyFont="1" applyFill="1" applyBorder="1" applyAlignment="1" applyProtection="1">
      <alignment horizontal="center"/>
    </xf>
    <xf numFmtId="0" fontId="34" fillId="19" borderId="0" xfId="0" applyFont="1" applyFill="1" applyAlignment="1">
      <alignment horizontal="center" wrapText="1"/>
    </xf>
    <xf numFmtId="0" fontId="34" fillId="0" borderId="51" xfId="0" applyFont="1" applyBorder="1" applyAlignment="1">
      <alignment horizontal="center" wrapText="1"/>
    </xf>
    <xf numFmtId="0" fontId="28" fillId="3" borderId="0" xfId="0" applyFont="1" applyFill="1"/>
    <xf numFmtId="0" fontId="31" fillId="0" borderId="0" xfId="0" applyFont="1"/>
    <xf numFmtId="167" fontId="2" fillId="0" borderId="2" xfId="0" applyNumberFormat="1" applyFont="1" applyBorder="1" applyAlignment="1">
      <alignment horizontal="center"/>
    </xf>
    <xf numFmtId="3" fontId="26" fillId="0" borderId="2" xfId="0" applyNumberFormat="1" applyFont="1" applyBorder="1" applyAlignment="1">
      <alignment horizontal="center"/>
    </xf>
    <xf numFmtId="3" fontId="2" fillId="0" borderId="0" xfId="0" applyNumberFormat="1" applyFont="1" applyAlignment="1">
      <alignment horizontal="center"/>
    </xf>
    <xf numFmtId="164" fontId="2" fillId="0" borderId="0" xfId="0" applyNumberFormat="1" applyFont="1" applyAlignment="1">
      <alignment horizontal="center"/>
    </xf>
    <xf numFmtId="167" fontId="2" fillId="5" borderId="1" xfId="0" applyNumberFormat="1" applyFont="1" applyFill="1" applyBorder="1" applyAlignment="1" applyProtection="1">
      <alignment horizontal="center"/>
      <protection locked="0"/>
    </xf>
    <xf numFmtId="3" fontId="2" fillId="0" borderId="2" xfId="0" applyNumberFormat="1" applyFont="1" applyBorder="1" applyAlignment="1">
      <alignment horizontal="center"/>
    </xf>
    <xf numFmtId="3" fontId="2" fillId="0" borderId="4" xfId="0" applyNumberFormat="1" applyFont="1" applyBorder="1" applyAlignment="1">
      <alignment horizontal="center"/>
    </xf>
    <xf numFmtId="0" fontId="32" fillId="0" borderId="0" xfId="0" applyFont="1"/>
    <xf numFmtId="1" fontId="4" fillId="3" borderId="25" xfId="2" applyNumberFormat="1" applyFont="1" applyFill="1" applyBorder="1" applyAlignment="1" applyProtection="1">
      <alignment horizontal="center"/>
      <protection locked="0"/>
    </xf>
    <xf numFmtId="0" fontId="21" fillId="0" borderId="0" xfId="0" applyFont="1" applyFill="1" applyBorder="1"/>
    <xf numFmtId="0" fontId="19" fillId="0" borderId="0" xfId="0" applyFont="1" applyFill="1" applyBorder="1"/>
    <xf numFmtId="164" fontId="2" fillId="0" borderId="0" xfId="0" applyNumberFormat="1" applyFont="1"/>
    <xf numFmtId="1" fontId="2" fillId="0" borderId="0" xfId="0" applyNumberFormat="1" applyFont="1" applyAlignment="1">
      <alignment horizontal="center"/>
    </xf>
    <xf numFmtId="0" fontId="34" fillId="19" borderId="53" xfId="0" applyFont="1" applyFill="1" applyBorder="1" applyAlignment="1">
      <alignment horizontal="center" vertical="center" wrapText="1"/>
    </xf>
    <xf numFmtId="0" fontId="2" fillId="22" borderId="0" xfId="0" applyFont="1" applyFill="1" applyAlignment="1">
      <alignment horizontal="center"/>
    </xf>
    <xf numFmtId="3" fontId="2" fillId="23" borderId="0" xfId="0" applyNumberFormat="1" applyFont="1" applyFill="1" applyAlignment="1">
      <alignment horizontal="center"/>
    </xf>
    <xf numFmtId="0" fontId="2" fillId="23" borderId="0" xfId="0" applyFont="1" applyFill="1" applyAlignment="1">
      <alignment horizontal="center"/>
    </xf>
    <xf numFmtId="164" fontId="2" fillId="22" borderId="0" xfId="0" applyNumberFormat="1" applyFont="1" applyFill="1" applyAlignment="1">
      <alignment horizontal="center"/>
    </xf>
    <xf numFmtId="1" fontId="2" fillId="8" borderId="0" xfId="0" applyNumberFormat="1" applyFont="1" applyFill="1" applyAlignment="1">
      <alignment horizontal="center"/>
    </xf>
    <xf numFmtId="3" fontId="2" fillId="23" borderId="55" xfId="0" applyNumberFormat="1" applyFont="1" applyFill="1" applyBorder="1" applyAlignment="1">
      <alignment horizontal="center"/>
    </xf>
    <xf numFmtId="164" fontId="2" fillId="22" borderId="55" xfId="0" applyNumberFormat="1" applyFont="1" applyFill="1" applyBorder="1" applyAlignment="1">
      <alignment horizontal="center"/>
    </xf>
    <xf numFmtId="0" fontId="2" fillId="6" borderId="38" xfId="0" applyFont="1" applyFill="1" applyBorder="1" applyAlignment="1" applyProtection="1">
      <protection locked="0"/>
    </xf>
    <xf numFmtId="0" fontId="2" fillId="6" borderId="5" xfId="0" applyFont="1" applyFill="1" applyBorder="1" applyAlignment="1" applyProtection="1">
      <protection locked="0"/>
    </xf>
    <xf numFmtId="3" fontId="2" fillId="3" borderId="0" xfId="0" applyNumberFormat="1" applyFont="1" applyFill="1" applyBorder="1" applyAlignment="1">
      <alignment horizontal="center"/>
    </xf>
    <xf numFmtId="3" fontId="26" fillId="3" borderId="0" xfId="0" applyNumberFormat="1" applyFont="1" applyFill="1" applyBorder="1" applyAlignment="1">
      <alignment horizontal="center"/>
    </xf>
    <xf numFmtId="0" fontId="32" fillId="3" borderId="0" xfId="0" applyFont="1" applyFill="1"/>
    <xf numFmtId="0" fontId="51" fillId="2" borderId="0" xfId="0" applyFont="1" applyFill="1"/>
    <xf numFmtId="0" fontId="4" fillId="2" borderId="0" xfId="0" applyFont="1" applyFill="1"/>
    <xf numFmtId="0" fontId="52" fillId="3" borderId="0" xfId="0" applyFont="1" applyFill="1" applyAlignment="1">
      <alignment vertical="top"/>
    </xf>
    <xf numFmtId="167" fontId="2" fillId="3" borderId="1" xfId="0" applyNumberFormat="1" applyFont="1" applyFill="1" applyBorder="1" applyAlignment="1" applyProtection="1">
      <alignment horizontal="center"/>
    </xf>
    <xf numFmtId="0" fontId="37" fillId="2" borderId="0" xfId="2" applyFont="1" applyFill="1"/>
    <xf numFmtId="0" fontId="36" fillId="3" borderId="0" xfId="0" applyFont="1" applyFill="1" applyAlignment="1">
      <alignment horizontal="right"/>
    </xf>
    <xf numFmtId="0" fontId="34" fillId="24" borderId="0" xfId="0" applyFont="1" applyFill="1" applyAlignment="1">
      <alignment horizontal="center" wrapText="1"/>
    </xf>
    <xf numFmtId="3" fontId="31" fillId="3" borderId="0" xfId="0" applyNumberFormat="1" applyFont="1" applyFill="1"/>
    <xf numFmtId="3" fontId="28" fillId="3" borderId="0" xfId="0" applyNumberFormat="1" applyFont="1" applyFill="1"/>
    <xf numFmtId="3" fontId="28" fillId="3" borderId="0" xfId="0" applyNumberFormat="1" applyFont="1" applyFill="1" applyAlignment="1">
      <alignment horizontal="center"/>
    </xf>
    <xf numFmtId="0" fontId="53" fillId="3" borderId="0" xfId="0" applyFont="1" applyFill="1"/>
    <xf numFmtId="0" fontId="2" fillId="24" borderId="0" xfId="0" applyFont="1" applyFill="1"/>
    <xf numFmtId="0" fontId="2" fillId="25" borderId="0" xfId="0" applyFont="1" applyFill="1"/>
    <xf numFmtId="0" fontId="2" fillId="9" borderId="0" xfId="0" applyFont="1" applyFill="1" applyAlignment="1">
      <alignment horizontal="center"/>
    </xf>
    <xf numFmtId="0" fontId="34" fillId="0" borderId="57" xfId="0" applyFont="1" applyBorder="1" applyAlignment="1">
      <alignment horizontal="center" wrapText="1"/>
    </xf>
    <xf numFmtId="0" fontId="2" fillId="3" borderId="31" xfId="0" applyFont="1" applyFill="1" applyBorder="1"/>
    <xf numFmtId="0" fontId="53" fillId="3" borderId="31" xfId="0" applyFont="1" applyFill="1" applyBorder="1"/>
    <xf numFmtId="0" fontId="28" fillId="3" borderId="31" xfId="0" applyFont="1" applyFill="1" applyBorder="1"/>
    <xf numFmtId="0" fontId="2" fillId="3" borderId="31" xfId="0" applyFont="1" applyFill="1" applyBorder="1" applyAlignment="1">
      <alignment horizontal="center"/>
    </xf>
    <xf numFmtId="0" fontId="36" fillId="3" borderId="31" xfId="0" applyFont="1" applyFill="1" applyBorder="1" applyAlignment="1">
      <alignment horizontal="right"/>
    </xf>
    <xf numFmtId="0" fontId="50" fillId="3" borderId="31" xfId="0" applyFont="1" applyFill="1" applyBorder="1"/>
    <xf numFmtId="0" fontId="31" fillId="3" borderId="32" xfId="0" applyFont="1" applyFill="1" applyBorder="1" applyAlignment="1">
      <alignment horizontal="right"/>
    </xf>
    <xf numFmtId="3" fontId="2" fillId="14" borderId="55" xfId="0" applyNumberFormat="1" applyFont="1" applyFill="1" applyBorder="1" applyAlignment="1" applyProtection="1">
      <alignment horizontal="center"/>
    </xf>
    <xf numFmtId="0" fontId="30" fillId="3" borderId="0" xfId="0" applyFont="1" applyFill="1" applyAlignment="1">
      <alignment horizontal="right"/>
    </xf>
    <xf numFmtId="0" fontId="30" fillId="8" borderId="0" xfId="0" applyFont="1" applyFill="1" applyAlignment="1">
      <alignment horizontal="right"/>
    </xf>
    <xf numFmtId="0" fontId="30" fillId="8" borderId="0" xfId="0" applyFont="1" applyFill="1" applyAlignment="1">
      <alignment horizontal="left"/>
    </xf>
    <xf numFmtId="0" fontId="30" fillId="8" borderId="0" xfId="0" applyFont="1" applyFill="1" applyAlignment="1">
      <alignment horizontal="center"/>
    </xf>
    <xf numFmtId="0" fontId="10" fillId="8" borderId="0" xfId="0" applyFont="1" applyFill="1"/>
    <xf numFmtId="0" fontId="10" fillId="3" borderId="0" xfId="0" applyFont="1" applyFill="1"/>
    <xf numFmtId="0" fontId="19" fillId="3" borderId="0" xfId="0" applyFont="1" applyFill="1"/>
    <xf numFmtId="0" fontId="0" fillId="3" borderId="0" xfId="0" applyFont="1" applyFill="1"/>
    <xf numFmtId="0" fontId="34" fillId="7" borderId="1" xfId="0" applyFont="1" applyFill="1" applyBorder="1" applyAlignment="1" applyProtection="1">
      <alignment horizontal="center"/>
    </xf>
    <xf numFmtId="3" fontId="2" fillId="5" borderId="25" xfId="0" applyNumberFormat="1" applyFont="1" applyFill="1" applyBorder="1" applyAlignment="1" applyProtection="1">
      <alignment horizontal="center"/>
      <protection locked="0"/>
    </xf>
    <xf numFmtId="0" fontId="2" fillId="3" borderId="0" xfId="0" applyFont="1" applyFill="1" applyBorder="1"/>
    <xf numFmtId="3" fontId="2" fillId="23" borderId="61" xfId="0" applyNumberFormat="1" applyFont="1" applyFill="1" applyBorder="1" applyAlignment="1">
      <alignment horizontal="center"/>
    </xf>
    <xf numFmtId="167" fontId="2" fillId="23" borderId="61" xfId="0" applyNumberFormat="1" applyFont="1" applyFill="1" applyBorder="1" applyAlignment="1">
      <alignment horizontal="center"/>
    </xf>
    <xf numFmtId="3" fontId="2" fillId="23" borderId="1" xfId="0" applyNumberFormat="1" applyFont="1" applyFill="1" applyBorder="1" applyAlignment="1">
      <alignment horizontal="center"/>
    </xf>
    <xf numFmtId="167" fontId="2" fillId="23" borderId="1" xfId="0" applyNumberFormat="1" applyFont="1" applyFill="1" applyBorder="1" applyAlignment="1">
      <alignment horizontal="center"/>
    </xf>
    <xf numFmtId="166" fontId="2" fillId="3" borderId="0" xfId="1" applyNumberFormat="1" applyFont="1" applyFill="1" applyBorder="1" applyAlignment="1">
      <alignment horizontal="center"/>
    </xf>
    <xf numFmtId="166" fontId="2" fillId="8" borderId="0" xfId="1" applyNumberFormat="1" applyFont="1" applyFill="1" applyBorder="1" applyAlignment="1">
      <alignment horizontal="center"/>
    </xf>
    <xf numFmtId="0" fontId="0" fillId="3" borderId="5" xfId="0" applyFill="1" applyBorder="1"/>
    <xf numFmtId="0" fontId="30" fillId="16" borderId="0" xfId="0" applyFont="1" applyFill="1"/>
    <xf numFmtId="0" fontId="2" fillId="8" borderId="0" xfId="0" applyFont="1" applyFill="1" applyAlignment="1">
      <alignment horizontal="right"/>
    </xf>
    <xf numFmtId="0" fontId="2" fillId="26" borderId="0" xfId="0" applyFont="1" applyFill="1" applyBorder="1" applyAlignment="1" applyProtection="1">
      <alignment horizontal="center"/>
    </xf>
    <xf numFmtId="168" fontId="2" fillId="5" borderId="1" xfId="0" applyNumberFormat="1" applyFont="1" applyFill="1" applyBorder="1" applyAlignment="1" applyProtection="1">
      <alignment horizontal="center"/>
      <protection locked="0"/>
    </xf>
    <xf numFmtId="0" fontId="4" fillId="3" borderId="0" xfId="0" applyFont="1" applyFill="1" applyAlignment="1">
      <alignment wrapText="1"/>
    </xf>
    <xf numFmtId="3" fontId="28" fillId="3" borderId="0" xfId="0" applyNumberFormat="1" applyFont="1" applyFill="1" applyAlignment="1">
      <alignment wrapText="1"/>
    </xf>
    <xf numFmtId="0" fontId="28" fillId="3" borderId="0" xfId="0" applyFont="1" applyFill="1" applyAlignment="1">
      <alignment wrapText="1"/>
    </xf>
    <xf numFmtId="2" fontId="31" fillId="3" borderId="2" xfId="0" applyNumberFormat="1" applyFont="1" applyFill="1" applyBorder="1" applyAlignment="1">
      <alignment horizontal="center"/>
    </xf>
    <xf numFmtId="2" fontId="31" fillId="3" borderId="0" xfId="0" applyNumberFormat="1" applyFont="1" applyFill="1" applyAlignment="1">
      <alignment horizontal="center"/>
    </xf>
    <xf numFmtId="0" fontId="34" fillId="0" borderId="0" xfId="0" applyFont="1" applyBorder="1" applyAlignment="1">
      <alignment horizontal="center" vertical="top" wrapText="1"/>
    </xf>
    <xf numFmtId="0" fontId="34" fillId="8" borderId="0" xfId="0" applyFont="1" applyFill="1" applyAlignment="1">
      <alignment horizontal="center" vertical="top" wrapText="1"/>
    </xf>
    <xf numFmtId="0" fontId="34" fillId="0" borderId="0" xfId="0" applyFont="1" applyAlignment="1">
      <alignment horizontal="center" vertical="top" wrapText="1"/>
    </xf>
    <xf numFmtId="0" fontId="61" fillId="3" borderId="7" xfId="0" applyFont="1" applyFill="1" applyBorder="1" applyAlignment="1" applyProtection="1"/>
    <xf numFmtId="166" fontId="2" fillId="12" borderId="1" xfId="1" applyNumberFormat="1" applyFont="1" applyFill="1" applyBorder="1" applyAlignment="1" applyProtection="1">
      <alignment horizontal="center"/>
      <protection locked="0"/>
    </xf>
    <xf numFmtId="9" fontId="26" fillId="3" borderId="0" xfId="0" applyNumberFormat="1" applyFont="1" applyFill="1"/>
    <xf numFmtId="0" fontId="34" fillId="16" borderId="0" xfId="0" applyFont="1" applyFill="1" applyAlignment="1">
      <alignment horizontal="center" wrapText="1"/>
    </xf>
    <xf numFmtId="3" fontId="2" fillId="16" borderId="1" xfId="0" applyNumberFormat="1" applyFont="1" applyFill="1" applyBorder="1" applyAlignment="1" applyProtection="1">
      <alignment horizontal="center"/>
    </xf>
    <xf numFmtId="3" fontId="2" fillId="16" borderId="25" xfId="0" applyNumberFormat="1" applyFont="1" applyFill="1" applyBorder="1" applyAlignment="1" applyProtection="1">
      <alignment horizontal="center"/>
    </xf>
    <xf numFmtId="3" fontId="2" fillId="16" borderId="2" xfId="0" applyNumberFormat="1" applyFont="1" applyFill="1" applyBorder="1" applyAlignment="1" applyProtection="1">
      <alignment horizontal="center"/>
    </xf>
    <xf numFmtId="0" fontId="10" fillId="16" borderId="0" xfId="0" applyFont="1" applyFill="1" applyBorder="1" applyAlignment="1" applyProtection="1">
      <alignment horizontal="center"/>
    </xf>
    <xf numFmtId="0" fontId="10" fillId="16" borderId="0" xfId="0" applyFont="1" applyFill="1" applyBorder="1" applyAlignment="1" applyProtection="1"/>
    <xf numFmtId="0" fontId="34" fillId="16" borderId="0" xfId="0" applyFont="1" applyFill="1" applyAlignment="1">
      <alignment horizontal="center" vertical="top" wrapText="1"/>
    </xf>
    <xf numFmtId="1" fontId="31" fillId="16" borderId="2" xfId="0" applyNumberFormat="1" applyFont="1" applyFill="1" applyBorder="1" applyAlignment="1">
      <alignment horizontal="center"/>
    </xf>
    <xf numFmtId="0" fontId="62" fillId="3" borderId="31" xfId="0" applyFont="1" applyFill="1" applyBorder="1" applyAlignment="1" applyProtection="1"/>
    <xf numFmtId="0" fontId="4" fillId="3" borderId="63" xfId="0" applyFont="1" applyFill="1" applyBorder="1" applyAlignment="1" applyProtection="1"/>
    <xf numFmtId="0" fontId="4" fillId="3" borderId="65" xfId="0" applyFont="1" applyFill="1" applyBorder="1" applyAlignment="1" applyProtection="1"/>
    <xf numFmtId="0" fontId="4" fillId="3" borderId="67" xfId="0" applyFont="1" applyFill="1" applyBorder="1" applyAlignment="1" applyProtection="1"/>
    <xf numFmtId="0" fontId="34" fillId="3" borderId="64" xfId="0" applyFont="1" applyFill="1" applyBorder="1" applyAlignment="1" applyProtection="1">
      <alignment horizontal="center" vertical="center"/>
    </xf>
    <xf numFmtId="2" fontId="2" fillId="3" borderId="1" xfId="0" applyNumberFormat="1" applyFont="1" applyFill="1" applyBorder="1" applyAlignment="1">
      <alignment horizontal="center"/>
    </xf>
    <xf numFmtId="9" fontId="30" fillId="3" borderId="0" xfId="0" applyNumberFormat="1" applyFont="1" applyFill="1"/>
    <xf numFmtId="2" fontId="31" fillId="14" borderId="0" xfId="0" applyNumberFormat="1" applyFont="1" applyFill="1" applyAlignment="1">
      <alignment horizontal="center"/>
    </xf>
    <xf numFmtId="2" fontId="2" fillId="14" borderId="0" xfId="0" applyNumberFormat="1" applyFont="1" applyFill="1" applyAlignment="1">
      <alignment horizontal="center"/>
    </xf>
    <xf numFmtId="0" fontId="2" fillId="14" borderId="0" xfId="0" applyFont="1" applyFill="1" applyAlignment="1">
      <alignment horizontal="center"/>
    </xf>
    <xf numFmtId="2" fontId="31" fillId="15" borderId="0" xfId="0" applyNumberFormat="1" applyFont="1" applyFill="1" applyAlignment="1">
      <alignment horizontal="center"/>
    </xf>
    <xf numFmtId="2" fontId="2" fillId="15" borderId="0" xfId="0" applyNumberFormat="1" applyFont="1" applyFill="1" applyAlignment="1">
      <alignment horizontal="center"/>
    </xf>
    <xf numFmtId="0" fontId="2" fillId="15" borderId="0" xfId="0" applyFont="1" applyFill="1" applyAlignment="1">
      <alignment horizontal="center"/>
    </xf>
    <xf numFmtId="0" fontId="4" fillId="3" borderId="69" xfId="0" applyFont="1" applyFill="1" applyBorder="1" applyAlignment="1" applyProtection="1"/>
    <xf numFmtId="0" fontId="38" fillId="3" borderId="70" xfId="0" applyFont="1" applyFill="1" applyBorder="1" applyAlignment="1" applyProtection="1"/>
    <xf numFmtId="0" fontId="30" fillId="0" borderId="0" xfId="0" applyFont="1"/>
    <xf numFmtId="0" fontId="34" fillId="3" borderId="64" xfId="0" applyFont="1" applyFill="1" applyBorder="1" applyAlignment="1" applyProtection="1">
      <alignment horizontal="center"/>
    </xf>
    <xf numFmtId="168" fontId="2" fillId="12" borderId="1" xfId="0" applyNumberFormat="1" applyFont="1" applyFill="1" applyBorder="1" applyAlignment="1" applyProtection="1">
      <alignment horizontal="center"/>
      <protection locked="0"/>
    </xf>
    <xf numFmtId="0" fontId="30" fillId="3" borderId="0" xfId="0" applyFont="1" applyFill="1" applyAlignment="1">
      <alignment horizontal="center" vertical="center" wrapText="1"/>
    </xf>
    <xf numFmtId="0" fontId="63" fillId="3" borderId="0" xfId="0" applyFont="1" applyFill="1" applyBorder="1" applyAlignment="1" applyProtection="1"/>
    <xf numFmtId="0" fontId="64" fillId="0" borderId="0" xfId="0" applyFont="1" applyAlignment="1">
      <alignment horizontal="center" wrapText="1"/>
    </xf>
    <xf numFmtId="164" fontId="63" fillId="3" borderId="0" xfId="0" applyNumberFormat="1" applyFont="1" applyFill="1" applyBorder="1" applyAlignment="1" applyProtection="1"/>
    <xf numFmtId="164" fontId="28" fillId="3" borderId="0" xfId="0" applyNumberFormat="1" applyFont="1" applyFill="1"/>
    <xf numFmtId="0" fontId="34" fillId="0" borderId="0" xfId="0" applyFont="1" applyAlignment="1">
      <alignment horizontal="center" wrapText="1"/>
    </xf>
    <xf numFmtId="0" fontId="2" fillId="3" borderId="7" xfId="0" applyFont="1" applyFill="1" applyBorder="1"/>
    <xf numFmtId="0" fontId="30" fillId="3" borderId="7" xfId="0" applyFont="1" applyFill="1" applyBorder="1"/>
    <xf numFmtId="0" fontId="2" fillId="3" borderId="73" xfId="0" applyFont="1" applyFill="1" applyBorder="1"/>
    <xf numFmtId="0" fontId="2" fillId="3" borderId="32" xfId="0" applyFont="1" applyFill="1" applyBorder="1"/>
    <xf numFmtId="0" fontId="2" fillId="8" borderId="72" xfId="0" applyFont="1" applyFill="1" applyBorder="1"/>
    <xf numFmtId="0" fontId="2" fillId="8" borderId="35" xfId="0" applyFont="1" applyFill="1" applyBorder="1"/>
    <xf numFmtId="0" fontId="33" fillId="2" borderId="0" xfId="2" applyFont="1" applyFill="1"/>
    <xf numFmtId="1" fontId="2" fillId="16" borderId="6" xfId="0" applyNumberFormat="1" applyFont="1" applyFill="1" applyBorder="1" applyAlignment="1">
      <alignment horizontal="center"/>
    </xf>
    <xf numFmtId="2" fontId="2" fillId="14" borderId="0" xfId="0" applyNumberFormat="1" applyFont="1" applyFill="1" applyBorder="1" applyAlignment="1">
      <alignment horizontal="center"/>
    </xf>
    <xf numFmtId="2" fontId="2" fillId="15" borderId="0" xfId="0" applyNumberFormat="1" applyFont="1" applyFill="1" applyBorder="1" applyAlignment="1">
      <alignment horizontal="center"/>
    </xf>
    <xf numFmtId="0" fontId="51" fillId="2" borderId="0" xfId="0" applyFont="1" applyFill="1" applyAlignment="1">
      <alignment horizontal="right"/>
    </xf>
    <xf numFmtId="2" fontId="51" fillId="2" borderId="0" xfId="0" applyNumberFormat="1" applyFont="1" applyFill="1"/>
    <xf numFmtId="0" fontId="51" fillId="2" borderId="0" xfId="0" applyFont="1" applyFill="1" applyAlignment="1">
      <alignment horizontal="center"/>
    </xf>
    <xf numFmtId="9" fontId="51" fillId="2" borderId="0" xfId="0" applyNumberFormat="1" applyFont="1" applyFill="1"/>
    <xf numFmtId="0" fontId="4" fillId="3" borderId="7" xfId="0" applyFont="1" applyFill="1" applyBorder="1" applyAlignment="1" applyProtection="1">
      <alignment horizontal="left"/>
    </xf>
    <xf numFmtId="0" fontId="4" fillId="3" borderId="5" xfId="0" applyFont="1" applyFill="1" applyBorder="1" applyAlignment="1" applyProtection="1">
      <alignment horizontal="left"/>
    </xf>
    <xf numFmtId="0" fontId="34" fillId="0" borderId="0" xfId="0" applyFont="1" applyAlignment="1">
      <alignment horizontal="center" wrapText="1"/>
    </xf>
    <xf numFmtId="3" fontId="2" fillId="3" borderId="66" xfId="0" applyNumberFormat="1" applyFont="1" applyFill="1" applyBorder="1" applyAlignment="1" applyProtection="1">
      <alignment horizontal="center"/>
    </xf>
    <xf numFmtId="3" fontId="2" fillId="3" borderId="68" xfId="0" applyNumberFormat="1" applyFont="1" applyFill="1" applyBorder="1" applyAlignment="1" applyProtection="1">
      <alignment horizontal="center"/>
    </xf>
    <xf numFmtId="3" fontId="2" fillId="3" borderId="71" xfId="0" applyNumberFormat="1" applyFont="1" applyFill="1" applyBorder="1" applyAlignment="1" applyProtection="1">
      <alignment horizontal="center"/>
    </xf>
    <xf numFmtId="166" fontId="2" fillId="3" borderId="1" xfId="1" applyNumberFormat="1" applyFont="1" applyFill="1" applyBorder="1" applyAlignment="1" applyProtection="1">
      <alignment horizontal="center"/>
    </xf>
    <xf numFmtId="170" fontId="2" fillId="3" borderId="0" xfId="0" applyNumberFormat="1" applyFont="1" applyFill="1" applyAlignment="1">
      <alignment horizontal="center"/>
    </xf>
    <xf numFmtId="170" fontId="2" fillId="14" borderId="0" xfId="0" applyNumberFormat="1" applyFont="1" applyFill="1" applyBorder="1" applyAlignment="1">
      <alignment horizontal="center"/>
    </xf>
    <xf numFmtId="170" fontId="2" fillId="15" borderId="0" xfId="0" applyNumberFormat="1" applyFont="1" applyFill="1" applyBorder="1" applyAlignment="1">
      <alignment horizontal="center"/>
    </xf>
    <xf numFmtId="1" fontId="0" fillId="10" borderId="1" xfId="0" applyNumberFormat="1" applyFont="1" applyFill="1" applyBorder="1" applyAlignment="1" applyProtection="1">
      <alignment horizontal="center"/>
      <protection locked="0"/>
    </xf>
    <xf numFmtId="2" fontId="0" fillId="10" borderId="1" xfId="0" applyNumberFormat="1" applyFont="1" applyFill="1" applyBorder="1" applyAlignment="1" applyProtection="1">
      <alignment horizontal="center"/>
      <protection locked="0"/>
    </xf>
    <xf numFmtId="0" fontId="0" fillId="10" borderId="1" xfId="0" applyFont="1" applyFill="1" applyBorder="1" applyAlignment="1" applyProtection="1">
      <alignment horizontal="center"/>
      <protection locked="0"/>
    </xf>
    <xf numFmtId="9" fontId="0" fillId="10" borderId="1" xfId="0" applyNumberFormat="1" applyFont="1" applyFill="1" applyBorder="1" applyAlignment="1" applyProtection="1">
      <alignment horizontal="center"/>
      <protection locked="0"/>
    </xf>
    <xf numFmtId="164" fontId="0" fillId="0" borderId="1" xfId="0" applyNumberFormat="1" applyFont="1" applyFill="1" applyBorder="1" applyAlignment="1" applyProtection="1">
      <alignment horizontal="center"/>
    </xf>
    <xf numFmtId="0" fontId="0" fillId="3" borderId="5" xfId="0" applyFont="1" applyFill="1" applyBorder="1"/>
    <xf numFmtId="0" fontId="0" fillId="3" borderId="17" xfId="0" applyFill="1" applyBorder="1"/>
    <xf numFmtId="0" fontId="0" fillId="3" borderId="17" xfId="0" applyFont="1" applyFill="1" applyBorder="1" applyAlignment="1">
      <alignment horizontal="center"/>
    </xf>
    <xf numFmtId="0" fontId="0" fillId="3" borderId="0" xfId="0" applyNumberFormat="1" applyFill="1"/>
    <xf numFmtId="0" fontId="0" fillId="3" borderId="9" xfId="0" applyFill="1" applyBorder="1"/>
    <xf numFmtId="0" fontId="0" fillId="3" borderId="10" xfId="0" applyFill="1" applyBorder="1"/>
    <xf numFmtId="0" fontId="0" fillId="3" borderId="12" xfId="0" applyFill="1" applyBorder="1"/>
    <xf numFmtId="1" fontId="0" fillId="3" borderId="0" xfId="0" applyNumberFormat="1" applyFill="1" applyBorder="1"/>
    <xf numFmtId="164" fontId="0" fillId="3" borderId="0" xfId="0" applyNumberFormat="1" applyFill="1" applyBorder="1"/>
    <xf numFmtId="0" fontId="0" fillId="3" borderId="14" xfId="0" applyFill="1" applyBorder="1"/>
    <xf numFmtId="1" fontId="0" fillId="3" borderId="15" xfId="0" applyNumberFormat="1" applyFill="1" applyBorder="1"/>
    <xf numFmtId="164" fontId="0" fillId="3" borderId="15" xfId="0" applyNumberFormat="1" applyFill="1" applyBorder="1"/>
    <xf numFmtId="0" fontId="15" fillId="13" borderId="25" xfId="0" applyFont="1" applyFill="1" applyBorder="1" applyAlignment="1">
      <alignment horizontal="center"/>
    </xf>
    <xf numFmtId="2" fontId="0" fillId="13" borderId="24" xfId="0" applyNumberFormat="1" applyFill="1" applyBorder="1" applyAlignment="1">
      <alignment horizontal="center"/>
    </xf>
    <xf numFmtId="1" fontId="0" fillId="13" borderId="24" xfId="0" applyNumberFormat="1" applyFill="1" applyBorder="1" applyAlignment="1">
      <alignment horizontal="center"/>
    </xf>
    <xf numFmtId="1" fontId="0" fillId="13" borderId="3" xfId="0" applyNumberFormat="1" applyFill="1" applyBorder="1" applyAlignment="1">
      <alignment horizontal="center"/>
    </xf>
    <xf numFmtId="1" fontId="0" fillId="13" borderId="21" xfId="0" applyNumberFormat="1" applyFill="1" applyBorder="1" applyAlignment="1">
      <alignment horizontal="center"/>
    </xf>
    <xf numFmtId="1" fontId="0" fillId="13" borderId="6" xfId="0" applyNumberFormat="1" applyFill="1" applyBorder="1" applyAlignment="1">
      <alignment horizontal="center"/>
    </xf>
    <xf numFmtId="0" fontId="8" fillId="3" borderId="0" xfId="0" applyFont="1" applyFill="1" applyBorder="1"/>
    <xf numFmtId="0" fontId="0" fillId="3" borderId="0" xfId="0" applyFill="1" applyBorder="1"/>
    <xf numFmtId="0" fontId="0" fillId="3" borderId="0" xfId="0" applyFont="1" applyFill="1" applyBorder="1" applyAlignment="1">
      <alignment horizontal="center"/>
    </xf>
    <xf numFmtId="0" fontId="18" fillId="3" borderId="0" xfId="0" applyFont="1" applyFill="1"/>
    <xf numFmtId="0" fontId="54" fillId="3" borderId="0" xfId="0" applyFont="1" applyFill="1"/>
    <xf numFmtId="1" fontId="19" fillId="3" borderId="0" xfId="0" applyNumberFormat="1" applyFont="1" applyFill="1" applyAlignment="1">
      <alignment horizontal="center"/>
    </xf>
    <xf numFmtId="164" fontId="19" fillId="3" borderId="0" xfId="0" applyNumberFormat="1" applyFont="1" applyFill="1" applyAlignment="1">
      <alignment horizontal="center"/>
    </xf>
    <xf numFmtId="164" fontId="20" fillId="3" borderId="0" xfId="0" applyNumberFormat="1" applyFont="1" applyFill="1" applyAlignment="1">
      <alignment horizontal="center"/>
    </xf>
    <xf numFmtId="165" fontId="19" fillId="3" borderId="0" xfId="0" applyNumberFormat="1" applyFont="1" applyFill="1" applyAlignment="1">
      <alignment horizontal="center"/>
    </xf>
    <xf numFmtId="164" fontId="0" fillId="3" borderId="0" xfId="0" applyNumberFormat="1" applyFill="1" applyAlignment="1">
      <alignment horizontal="center"/>
    </xf>
    <xf numFmtId="0" fontId="0" fillId="3" borderId="0" xfId="0" applyFont="1" applyFill="1" applyAlignment="1">
      <alignment horizontal="center"/>
    </xf>
    <xf numFmtId="2" fontId="0" fillId="3" borderId="0" xfId="0" applyNumberFormat="1" applyFill="1" applyAlignment="1">
      <alignment horizontal="center"/>
    </xf>
    <xf numFmtId="0" fontId="19" fillId="3" borderId="0" xfId="0" applyFont="1" applyFill="1" applyAlignment="1">
      <alignment horizontal="center"/>
    </xf>
    <xf numFmtId="164" fontId="21" fillId="3" borderId="0" xfId="0" applyNumberFormat="1" applyFont="1" applyFill="1" applyAlignment="1">
      <alignment horizontal="center"/>
    </xf>
    <xf numFmtId="0" fontId="22" fillId="3" borderId="0" xfId="0" applyFont="1" applyFill="1"/>
    <xf numFmtId="1" fontId="0" fillId="3" borderId="0" xfId="0" applyNumberFormat="1" applyFill="1" applyAlignment="1">
      <alignment horizontal="center"/>
    </xf>
    <xf numFmtId="2" fontId="0" fillId="3" borderId="0" xfId="0" applyNumberFormat="1" applyFont="1" applyFill="1" applyAlignment="1">
      <alignment horizontal="center"/>
    </xf>
    <xf numFmtId="164" fontId="0" fillId="3" borderId="0" xfId="0" applyNumberFormat="1" applyFont="1" applyFill="1" applyAlignment="1">
      <alignment horizontal="center"/>
    </xf>
    <xf numFmtId="0" fontId="16" fillId="3" borderId="18" xfId="0" applyFont="1" applyFill="1" applyBorder="1" applyAlignment="1">
      <alignment horizontal="center"/>
    </xf>
    <xf numFmtId="0" fontId="16" fillId="3" borderId="19" xfId="0" applyFont="1" applyFill="1" applyBorder="1" applyAlignment="1">
      <alignment horizontal="center"/>
    </xf>
    <xf numFmtId="0" fontId="16" fillId="3" borderId="20" xfId="0" applyFont="1" applyFill="1" applyBorder="1" applyAlignment="1">
      <alignment horizontal="center"/>
    </xf>
    <xf numFmtId="0" fontId="24" fillId="3" borderId="0" xfId="0" applyFont="1" applyFill="1"/>
    <xf numFmtId="164" fontId="24" fillId="3" borderId="0" xfId="0" applyNumberFormat="1" applyFont="1" applyFill="1" applyAlignment="1">
      <alignment horizontal="center"/>
    </xf>
    <xf numFmtId="0" fontId="25" fillId="3" borderId="0" xfId="0" applyFont="1" applyFill="1"/>
    <xf numFmtId="0" fontId="16" fillId="3" borderId="21" xfId="0" applyFont="1" applyFill="1" applyBorder="1" applyAlignment="1">
      <alignment horizontal="center"/>
    </xf>
    <xf numFmtId="0" fontId="16" fillId="3" borderId="22" xfId="0" applyFont="1" applyFill="1" applyBorder="1" applyAlignment="1">
      <alignment horizontal="center"/>
    </xf>
    <xf numFmtId="1" fontId="16" fillId="3" borderId="22" xfId="0" applyNumberFormat="1" applyFont="1" applyFill="1" applyBorder="1" applyAlignment="1">
      <alignment horizontal="center"/>
    </xf>
    <xf numFmtId="164" fontId="16" fillId="3" borderId="23" xfId="0" applyNumberFormat="1" applyFont="1" applyFill="1" applyBorder="1" applyAlignment="1">
      <alignment horizontal="center"/>
    </xf>
    <xf numFmtId="16" fontId="0" fillId="3" borderId="0" xfId="0" quotePrefix="1" applyNumberFormat="1" applyFill="1"/>
    <xf numFmtId="0" fontId="0" fillId="3" borderId="1" xfId="0" applyFill="1" applyBorder="1" applyAlignment="1">
      <alignment horizontal="center"/>
    </xf>
    <xf numFmtId="164" fontId="0" fillId="3" borderId="1" xfId="0" applyNumberFormat="1" applyFill="1" applyBorder="1" applyAlignment="1">
      <alignment horizontal="center"/>
    </xf>
    <xf numFmtId="2" fontId="0" fillId="3" borderId="1" xfId="0" applyNumberFormat="1" applyFill="1" applyBorder="1" applyAlignment="1">
      <alignment horizontal="center"/>
    </xf>
    <xf numFmtId="164" fontId="4" fillId="3" borderId="0" xfId="0" applyNumberFormat="1" applyFont="1" applyFill="1"/>
    <xf numFmtId="3" fontId="4" fillId="3" borderId="0" xfId="0" applyNumberFormat="1" applyFont="1" applyFill="1"/>
    <xf numFmtId="9" fontId="4" fillId="3" borderId="1" xfId="1" applyFont="1" applyFill="1" applyBorder="1" applyAlignment="1">
      <alignment horizontal="center"/>
    </xf>
    <xf numFmtId="164" fontId="2" fillId="3" borderId="0" xfId="0" applyNumberFormat="1" applyFont="1" applyFill="1"/>
    <xf numFmtId="1" fontId="31" fillId="3" borderId="0" xfId="0" applyNumberFormat="1" applyFont="1" applyFill="1"/>
    <xf numFmtId="9" fontId="2" fillId="8" borderId="0" xfId="0" applyNumberFormat="1" applyFont="1" applyFill="1"/>
    <xf numFmtId="2" fontId="31" fillId="8" borderId="0" xfId="0" applyNumberFormat="1" applyFont="1" applyFill="1"/>
    <xf numFmtId="165" fontId="2" fillId="8" borderId="0" xfId="0" applyNumberFormat="1" applyFont="1" applyFill="1"/>
    <xf numFmtId="165" fontId="63" fillId="3" borderId="0" xfId="0" applyNumberFormat="1" applyFont="1" applyFill="1" applyBorder="1" applyAlignment="1" applyProtection="1"/>
    <xf numFmtId="164" fontId="2" fillId="14" borderId="0" xfId="0" applyNumberFormat="1" applyFont="1" applyFill="1"/>
    <xf numFmtId="164" fontId="2" fillId="15" borderId="0" xfId="0" applyNumberFormat="1" applyFont="1" applyFill="1"/>
    <xf numFmtId="3" fontId="2" fillId="16" borderId="0" xfId="0" applyNumberFormat="1" applyFont="1" applyFill="1" applyBorder="1" applyAlignment="1" applyProtection="1">
      <alignment horizontal="center"/>
    </xf>
    <xf numFmtId="0" fontId="17" fillId="16" borderId="0" xfId="0" applyFont="1" applyFill="1" applyBorder="1" applyAlignment="1" applyProtection="1"/>
    <xf numFmtId="3" fontId="2" fillId="16" borderId="24" xfId="0" applyNumberFormat="1" applyFont="1" applyFill="1" applyBorder="1" applyAlignment="1" applyProtection="1">
      <alignment horizontal="center"/>
    </xf>
    <xf numFmtId="165" fontId="51" fillId="2" borderId="0" xfId="0" applyNumberFormat="1" applyFont="1" applyFill="1"/>
    <xf numFmtId="165" fontId="2" fillId="3" borderId="1" xfId="0" applyNumberFormat="1" applyFont="1" applyFill="1" applyBorder="1" applyAlignment="1" applyProtection="1">
      <alignment horizontal="center"/>
    </xf>
    <xf numFmtId="0" fontId="34" fillId="3" borderId="0" xfId="0" applyFont="1" applyFill="1" applyAlignment="1" applyProtection="1">
      <alignment horizontal="center" wrapText="1"/>
    </xf>
    <xf numFmtId="0" fontId="19" fillId="2" borderId="0" xfId="0" applyFont="1" applyFill="1" applyBorder="1"/>
    <xf numFmtId="0" fontId="21" fillId="2" borderId="0" xfId="0" applyFont="1" applyFill="1" applyBorder="1"/>
    <xf numFmtId="0" fontId="2" fillId="2" borderId="0" xfId="0" applyFont="1" applyFill="1" applyBorder="1" applyAlignment="1" applyProtection="1">
      <alignment horizontal="right"/>
    </xf>
    <xf numFmtId="3" fontId="2" fillId="2" borderId="0" xfId="0" applyNumberFormat="1" applyFont="1" applyFill="1" applyBorder="1" applyAlignment="1" applyProtection="1">
      <alignment horizontal="center"/>
    </xf>
    <xf numFmtId="0" fontId="10" fillId="2" borderId="0" xfId="0" applyFont="1" applyFill="1" applyBorder="1" applyAlignment="1" applyProtection="1">
      <alignment horizontal="right"/>
    </xf>
    <xf numFmtId="0" fontId="34" fillId="0" borderId="0" xfId="0" applyFont="1" applyAlignment="1">
      <alignment horizontal="center" vertical="center" wrapText="1"/>
    </xf>
    <xf numFmtId="0" fontId="34" fillId="16" borderId="0" xfId="0" applyFont="1" applyFill="1" applyAlignment="1">
      <alignment horizontal="center" vertical="center" wrapText="1"/>
    </xf>
    <xf numFmtId="0" fontId="31" fillId="3" borderId="0" xfId="0" applyFont="1" applyFill="1" applyAlignment="1">
      <alignment horizontal="right"/>
    </xf>
    <xf numFmtId="1" fontId="31" fillId="8" borderId="0" xfId="0" applyNumberFormat="1" applyFont="1" applyFill="1"/>
    <xf numFmtId="1" fontId="31" fillId="14" borderId="0" xfId="0" applyNumberFormat="1" applyFont="1" applyFill="1"/>
    <xf numFmtId="1" fontId="31" fillId="15" borderId="0" xfId="0" applyNumberFormat="1" applyFont="1" applyFill="1"/>
    <xf numFmtId="0" fontId="38" fillId="3" borderId="7" xfId="0" applyFont="1" applyFill="1" applyBorder="1" applyAlignment="1" applyProtection="1"/>
    <xf numFmtId="0" fontId="2" fillId="2" borderId="0" xfId="2" applyFont="1" applyFill="1" applyAlignment="1">
      <alignment vertical="center"/>
    </xf>
    <xf numFmtId="0" fontId="6" fillId="2" borderId="0" xfId="3" applyFont="1" applyFill="1" applyAlignment="1">
      <alignment vertical="center"/>
    </xf>
    <xf numFmtId="0" fontId="2" fillId="3" borderId="0" xfId="2" applyFont="1" applyFill="1" applyAlignment="1">
      <alignment vertical="center"/>
    </xf>
    <xf numFmtId="0" fontId="36" fillId="2" borderId="0" xfId="2" applyFont="1" applyFill="1" applyAlignment="1">
      <alignment vertical="center"/>
    </xf>
    <xf numFmtId="0" fontId="2" fillId="2" borderId="0" xfId="2" applyFont="1" applyFill="1" applyAlignment="1">
      <alignment horizontal="right" vertical="center"/>
    </xf>
    <xf numFmtId="0" fontId="2" fillId="2" borderId="0" xfId="2" applyFont="1" applyFill="1" applyAlignment="1">
      <alignment horizontal="center" vertical="center"/>
    </xf>
    <xf numFmtId="0" fontId="0" fillId="2" borderId="0" xfId="0" applyFill="1" applyAlignment="1">
      <alignment vertical="center"/>
    </xf>
    <xf numFmtId="0" fontId="2" fillId="49" borderId="0" xfId="0" applyFont="1" applyFill="1"/>
    <xf numFmtId="0" fontId="2" fillId="50" borderId="0" xfId="0" applyFont="1" applyFill="1"/>
    <xf numFmtId="0" fontId="2" fillId="51" borderId="0" xfId="0" applyFont="1" applyFill="1"/>
    <xf numFmtId="3" fontId="2" fillId="3" borderId="1" xfId="0" applyNumberFormat="1" applyFont="1" applyFill="1" applyBorder="1" applyAlignment="1" applyProtection="1">
      <alignment horizontal="center"/>
      <protection locked="0"/>
    </xf>
    <xf numFmtId="165" fontId="2" fillId="3" borderId="1" xfId="0" applyNumberFormat="1" applyFont="1" applyFill="1" applyBorder="1" applyAlignment="1" applyProtection="1">
      <alignment horizontal="center" vertical="center"/>
    </xf>
    <xf numFmtId="3" fontId="2" fillId="3" borderId="1" xfId="0" applyNumberFormat="1" applyFont="1" applyFill="1" applyBorder="1" applyAlignment="1" applyProtection="1">
      <alignment horizontal="center" vertical="center"/>
    </xf>
    <xf numFmtId="3" fontId="2" fillId="5" borderId="1" xfId="0" applyNumberFormat="1" applyFont="1" applyFill="1" applyBorder="1" applyAlignment="1" applyProtection="1">
      <alignment horizontal="center" vertical="center"/>
      <protection locked="0"/>
    </xf>
    <xf numFmtId="3" fontId="26" fillId="5" borderId="1" xfId="0" applyNumberFormat="1" applyFont="1" applyFill="1" applyBorder="1" applyAlignment="1" applyProtection="1">
      <alignment horizontal="center" vertical="center"/>
      <protection locked="0"/>
    </xf>
    <xf numFmtId="4" fontId="2" fillId="5" borderId="1" xfId="0" applyNumberFormat="1" applyFont="1" applyFill="1" applyBorder="1" applyAlignment="1" applyProtection="1">
      <alignment horizontal="center" vertical="center"/>
      <protection locked="0"/>
    </xf>
    <xf numFmtId="0" fontId="2" fillId="0" borderId="0" xfId="0" applyFont="1" applyFill="1"/>
    <xf numFmtId="3" fontId="26" fillId="0" borderId="1" xfId="0" applyNumberFormat="1" applyFont="1" applyBorder="1" applyAlignment="1">
      <alignment horizontal="center"/>
    </xf>
    <xf numFmtId="167" fontId="26" fillId="0" borderId="1" xfId="0" applyNumberFormat="1" applyFont="1" applyBorder="1" applyAlignment="1">
      <alignment horizontal="center"/>
    </xf>
    <xf numFmtId="164" fontId="2" fillId="5" borderId="6" xfId="0" applyNumberFormat="1" applyFont="1" applyFill="1" applyBorder="1" applyAlignment="1" applyProtection="1">
      <alignment horizontal="center"/>
      <protection locked="0"/>
    </xf>
    <xf numFmtId="164" fontId="2" fillId="0" borderId="2" xfId="0" applyNumberFormat="1" applyFont="1" applyBorder="1" applyAlignment="1">
      <alignment horizontal="center"/>
    </xf>
    <xf numFmtId="164" fontId="4" fillId="3" borderId="1" xfId="2" applyNumberFormat="1" applyFont="1" applyFill="1" applyBorder="1" applyAlignment="1" applyProtection="1">
      <alignment horizontal="center"/>
    </xf>
    <xf numFmtId="49" fontId="2" fillId="12" borderId="1" xfId="1" applyNumberFormat="1" applyFont="1" applyFill="1" applyBorder="1" applyAlignment="1" applyProtection="1">
      <alignment horizontal="center"/>
      <protection locked="0"/>
    </xf>
    <xf numFmtId="3" fontId="2" fillId="3" borderId="66" xfId="0" applyNumberFormat="1" applyFont="1" applyFill="1" applyBorder="1" applyAlignment="1" applyProtection="1">
      <alignment horizontal="center"/>
      <protection locked="0"/>
    </xf>
    <xf numFmtId="3" fontId="2" fillId="3" borderId="68" xfId="0" applyNumberFormat="1" applyFont="1" applyFill="1" applyBorder="1" applyAlignment="1" applyProtection="1">
      <alignment horizontal="center"/>
      <protection locked="0"/>
    </xf>
    <xf numFmtId="3" fontId="2" fillId="3" borderId="6" xfId="0" applyNumberFormat="1" applyFont="1" applyFill="1" applyBorder="1" applyAlignment="1" applyProtection="1">
      <alignment horizontal="center"/>
      <protection locked="0"/>
    </xf>
    <xf numFmtId="3" fontId="2" fillId="3" borderId="25" xfId="0" applyNumberFormat="1" applyFont="1" applyFill="1" applyBorder="1" applyAlignment="1" applyProtection="1">
      <alignment horizontal="center" vertical="center"/>
    </xf>
    <xf numFmtId="0" fontId="10" fillId="3" borderId="55" xfId="2" applyNumberFormat="1" applyFont="1" applyFill="1" applyBorder="1" applyAlignment="1" applyProtection="1">
      <alignment horizontal="center" vertical="center" wrapText="1"/>
    </xf>
    <xf numFmtId="0" fontId="40" fillId="2" borderId="0" xfId="2" applyNumberFormat="1" applyFont="1" applyFill="1" applyBorder="1" applyAlignment="1" applyProtection="1"/>
    <xf numFmtId="0" fontId="45" fillId="3" borderId="0" xfId="5" applyNumberFormat="1" applyFont="1" applyFill="1" applyBorder="1" applyAlignment="1" applyProtection="1">
      <alignment horizontal="right"/>
    </xf>
    <xf numFmtId="0" fontId="85" fillId="3" borderId="0" xfId="5" applyNumberFormat="1" applyFont="1" applyFill="1" applyBorder="1" applyAlignment="1" applyProtection="1">
      <alignment horizontal="right"/>
    </xf>
    <xf numFmtId="0" fontId="2" fillId="2" borderId="0" xfId="2" applyFont="1" applyFill="1" applyAlignment="1" applyProtection="1">
      <alignment vertical="center"/>
    </xf>
    <xf numFmtId="0" fontId="6" fillId="2" borderId="0" xfId="3" applyFont="1" applyFill="1" applyAlignment="1" applyProtection="1">
      <alignment vertical="center"/>
    </xf>
    <xf numFmtId="0" fontId="2" fillId="2" borderId="0" xfId="2" applyFont="1" applyFill="1" applyAlignment="1" applyProtection="1">
      <alignment horizontal="center" vertical="center"/>
    </xf>
    <xf numFmtId="0" fontId="4" fillId="2" borderId="0" xfId="3" applyFont="1" applyFill="1" applyProtection="1"/>
    <xf numFmtId="0" fontId="5" fillId="2" borderId="0" xfId="3" applyFont="1" applyFill="1" applyProtection="1"/>
    <xf numFmtId="0" fontId="2" fillId="2" borderId="0" xfId="2" applyFont="1" applyFill="1" applyProtection="1"/>
    <xf numFmtId="0" fontId="2" fillId="2" borderId="0" xfId="2" applyFont="1" applyFill="1" applyAlignment="1" applyProtection="1">
      <alignment horizontal="center"/>
    </xf>
    <xf numFmtId="0" fontId="39" fillId="3" borderId="0" xfId="3" applyFont="1" applyFill="1" applyProtection="1"/>
    <xf numFmtId="0" fontId="2" fillId="3" borderId="0" xfId="2" applyFont="1" applyFill="1" applyProtection="1"/>
    <xf numFmtId="0" fontId="2" fillId="3" borderId="0" xfId="2" applyFont="1" applyFill="1" applyAlignment="1" applyProtection="1">
      <alignment horizontal="center"/>
    </xf>
    <xf numFmtId="0" fontId="34" fillId="3" borderId="0" xfId="2" applyFont="1" applyFill="1" applyAlignment="1" applyProtection="1">
      <alignment horizontal="center"/>
    </xf>
    <xf numFmtId="0" fontId="31" fillId="3" borderId="0" xfId="2" applyFont="1" applyFill="1" applyProtection="1"/>
    <xf numFmtId="0" fontId="34" fillId="3" borderId="38" xfId="2" applyFont="1" applyFill="1" applyBorder="1" applyAlignment="1" applyProtection="1">
      <alignment horizontal="center" vertical="center"/>
    </xf>
    <xf numFmtId="0" fontId="48" fillId="21" borderId="47" xfId="0" applyFont="1" applyFill="1" applyBorder="1" applyAlignment="1" applyProtection="1">
      <alignment horizontal="center" vertical="center" wrapText="1"/>
    </xf>
    <xf numFmtId="0" fontId="2" fillId="3" borderId="55" xfId="2" applyFont="1" applyFill="1" applyBorder="1" applyAlignment="1" applyProtection="1">
      <alignment horizontal="center"/>
    </xf>
    <xf numFmtId="0" fontId="34" fillId="3" borderId="38" xfId="2" applyFont="1" applyFill="1" applyBorder="1" applyAlignment="1" applyProtection="1">
      <alignment horizontal="center"/>
    </xf>
    <xf numFmtId="164" fontId="2" fillId="3" borderId="1" xfId="2" applyNumberFormat="1" applyFont="1" applyFill="1" applyBorder="1" applyAlignment="1" applyProtection="1">
      <alignment horizontal="center"/>
    </xf>
    <xf numFmtId="0" fontId="47" fillId="21" borderId="47" xfId="0" applyFont="1" applyFill="1" applyBorder="1" applyAlignment="1" applyProtection="1">
      <alignment horizontal="center" vertical="center" wrapText="1"/>
    </xf>
    <xf numFmtId="0" fontId="51" fillId="2" borderId="0" xfId="0" applyFont="1" applyFill="1" applyAlignment="1" applyProtection="1">
      <alignment horizontal="center"/>
    </xf>
    <xf numFmtId="0" fontId="51" fillId="2" borderId="0" xfId="0" applyFont="1" applyFill="1" applyProtection="1"/>
    <xf numFmtId="0" fontId="2" fillId="2" borderId="0" xfId="0" applyFont="1" applyFill="1" applyProtection="1"/>
    <xf numFmtId="0" fontId="4" fillId="2" borderId="0" xfId="0" applyFont="1" applyFill="1" applyAlignment="1" applyProtection="1">
      <alignment horizontal="center"/>
    </xf>
    <xf numFmtId="0" fontId="4" fillId="2" borderId="0" xfId="0" applyFont="1" applyFill="1" applyProtection="1"/>
    <xf numFmtId="0" fontId="2" fillId="2" borderId="0" xfId="0" applyFont="1" applyFill="1" applyAlignment="1" applyProtection="1">
      <alignment horizontal="center"/>
    </xf>
    <xf numFmtId="0" fontId="4" fillId="3" borderId="0" xfId="3" applyFont="1" applyFill="1" applyProtection="1"/>
    <xf numFmtId="0" fontId="47" fillId="21" borderId="47" xfId="0" applyFont="1" applyFill="1" applyBorder="1" applyAlignment="1" applyProtection="1">
      <alignment vertical="center" wrapText="1"/>
    </xf>
    <xf numFmtId="0" fontId="48" fillId="21" borderId="47" xfId="0" applyFont="1" applyFill="1" applyBorder="1" applyAlignment="1" applyProtection="1">
      <alignment vertical="center" wrapText="1"/>
    </xf>
    <xf numFmtId="164" fontId="2" fillId="3" borderId="0" xfId="2" applyNumberFormat="1" applyFont="1" applyFill="1" applyAlignment="1" applyProtection="1">
      <alignment horizontal="center"/>
    </xf>
    <xf numFmtId="0" fontId="86" fillId="0" borderId="0" xfId="48"/>
    <xf numFmtId="0" fontId="86" fillId="2" borderId="0" xfId="48" applyFill="1"/>
    <xf numFmtId="0" fontId="40" fillId="3" borderId="1" xfId="2" applyNumberFormat="1" applyFont="1" applyFill="1" applyBorder="1" applyAlignment="1" applyProtection="1"/>
    <xf numFmtId="0" fontId="2" fillId="3" borderId="1" xfId="2" applyFont="1" applyFill="1" applyBorder="1" applyProtection="1"/>
    <xf numFmtId="0" fontId="40" fillId="3" borderId="1" xfId="2" applyNumberFormat="1" applyFont="1" applyFill="1" applyBorder="1" applyAlignment="1" applyProtection="1">
      <alignment horizontal="center"/>
    </xf>
    <xf numFmtId="0" fontId="2" fillId="3" borderId="1" xfId="2" applyFont="1" applyFill="1" applyBorder="1" applyAlignment="1" applyProtection="1">
      <alignment horizontal="center"/>
    </xf>
    <xf numFmtId="0" fontId="34" fillId="0" borderId="57" xfId="0" applyFont="1" applyBorder="1" applyAlignment="1">
      <alignment horizontal="center" vertical="center" wrapText="1"/>
    </xf>
    <xf numFmtId="0" fontId="86" fillId="3" borderId="0" xfId="48" applyFill="1"/>
    <xf numFmtId="9" fontId="4" fillId="3" borderId="25" xfId="1" applyFont="1" applyFill="1" applyBorder="1" applyAlignment="1" applyProtection="1">
      <alignment horizontal="center"/>
    </xf>
    <xf numFmtId="0" fontId="40" fillId="3" borderId="0" xfId="2" applyNumberFormat="1" applyFont="1" applyFill="1" applyBorder="1" applyAlignment="1" applyProtection="1">
      <alignment horizontal="right"/>
    </xf>
    <xf numFmtId="0" fontId="87" fillId="3" borderId="0" xfId="2" applyNumberFormat="1" applyFont="1" applyFill="1" applyBorder="1" applyAlignment="1" applyProtection="1"/>
    <xf numFmtId="0" fontId="40" fillId="3" borderId="38" xfId="2" applyNumberFormat="1" applyFont="1" applyFill="1" applyBorder="1" applyAlignment="1" applyProtection="1">
      <alignment horizontal="right"/>
    </xf>
    <xf numFmtId="0" fontId="40" fillId="3" borderId="40" xfId="2" applyNumberFormat="1" applyFont="1" applyFill="1" applyBorder="1" applyAlignment="1" applyProtection="1">
      <alignment horizontal="center"/>
    </xf>
    <xf numFmtId="0" fontId="2" fillId="3" borderId="0" xfId="48" applyFont="1" applyFill="1" applyAlignment="1">
      <alignment vertical="center"/>
    </xf>
    <xf numFmtId="0" fontId="40" fillId="8" borderId="0" xfId="2" applyNumberFormat="1" applyFont="1" applyFill="1" applyBorder="1" applyAlignment="1" applyProtection="1">
      <alignment horizontal="left"/>
    </xf>
    <xf numFmtId="0" fontId="40" fillId="8" borderId="0" xfId="2" applyNumberFormat="1" applyFont="1" applyFill="1" applyBorder="1" applyAlignment="1" applyProtection="1"/>
    <xf numFmtId="0" fontId="40" fillId="8" borderId="0" xfId="2" applyNumberFormat="1" applyFont="1" applyFill="1" applyBorder="1" applyAlignment="1" applyProtection="1">
      <alignment horizontal="right"/>
    </xf>
    <xf numFmtId="1" fontId="2" fillId="3" borderId="1" xfId="2" applyNumberFormat="1" applyFont="1" applyFill="1" applyBorder="1" applyAlignment="1" applyProtection="1">
      <alignment horizontal="center"/>
    </xf>
    <xf numFmtId="0" fontId="88" fillId="3" borderId="0" xfId="2" applyNumberFormat="1" applyFont="1" applyFill="1" applyBorder="1" applyAlignment="1" applyProtection="1">
      <alignment horizontal="left" vertical="center" wrapText="1"/>
    </xf>
    <xf numFmtId="0" fontId="40" fillId="3" borderId="38" xfId="2" applyNumberFormat="1" applyFont="1" applyFill="1" applyBorder="1" applyAlignment="1" applyProtection="1">
      <alignment vertical="center"/>
    </xf>
    <xf numFmtId="0" fontId="33" fillId="3" borderId="7" xfId="48" applyFont="1" applyFill="1" applyBorder="1" applyAlignment="1">
      <alignment vertical="center"/>
    </xf>
    <xf numFmtId="1" fontId="33" fillId="3" borderId="40" xfId="48" applyNumberFormat="1" applyFont="1" applyFill="1" applyBorder="1" applyAlignment="1">
      <alignment horizontal="center" vertical="center"/>
    </xf>
    <xf numFmtId="1" fontId="33" fillId="3" borderId="55" xfId="48" applyNumberFormat="1" applyFont="1" applyFill="1" applyBorder="1" applyAlignment="1">
      <alignment horizontal="center" vertical="center"/>
    </xf>
    <xf numFmtId="0" fontId="17" fillId="3" borderId="0" xfId="2" applyNumberFormat="1" applyFont="1" applyFill="1" applyBorder="1" applyAlignment="1" applyProtection="1">
      <alignment horizontal="center" vertical="center" wrapText="1"/>
    </xf>
    <xf numFmtId="0" fontId="40" fillId="3" borderId="25" xfId="2" applyNumberFormat="1" applyFont="1" applyFill="1" applyBorder="1" applyAlignment="1" applyProtection="1">
      <alignment horizontal="center"/>
    </xf>
    <xf numFmtId="164" fontId="28" fillId="2" borderId="0" xfId="0" applyNumberFormat="1" applyFont="1" applyFill="1"/>
    <xf numFmtId="0" fontId="34" fillId="16" borderId="0" xfId="0" applyFont="1" applyFill="1" applyAlignment="1">
      <alignment horizontal="center"/>
    </xf>
    <xf numFmtId="0" fontId="33" fillId="58" borderId="0" xfId="0" applyFont="1" applyFill="1" applyAlignment="1">
      <alignment vertical="center"/>
    </xf>
    <xf numFmtId="0" fontId="32" fillId="56" borderId="0" xfId="0" applyFont="1" applyFill="1" applyAlignment="1">
      <alignment vertical="center"/>
    </xf>
    <xf numFmtId="0" fontId="32" fillId="59" borderId="0" xfId="0" applyFont="1" applyFill="1" applyAlignment="1">
      <alignment vertical="center"/>
    </xf>
    <xf numFmtId="0" fontId="32" fillId="52" borderId="0" xfId="0" applyFont="1" applyFill="1" applyAlignment="1">
      <alignment vertical="center"/>
    </xf>
    <xf numFmtId="0" fontId="32" fillId="54" borderId="0" xfId="0" applyFont="1" applyFill="1" applyAlignment="1">
      <alignment vertical="center"/>
    </xf>
    <xf numFmtId="0" fontId="32" fillId="55" borderId="0" xfId="0" applyFont="1" applyFill="1" applyAlignment="1">
      <alignment vertical="center"/>
    </xf>
    <xf numFmtId="0" fontId="26" fillId="3" borderId="0" xfId="0" applyFont="1" applyFill="1" applyAlignment="1">
      <alignment horizontal="center" vertical="center"/>
    </xf>
    <xf numFmtId="0" fontId="2" fillId="3" borderId="0" xfId="0" applyFont="1" applyFill="1" applyAlignment="1">
      <alignment vertical="center" wrapText="1"/>
    </xf>
    <xf numFmtId="0" fontId="2" fillId="3" borderId="0" xfId="0" applyFont="1" applyFill="1" applyAlignment="1">
      <alignment vertical="center"/>
    </xf>
    <xf numFmtId="0" fontId="32" fillId="3" borderId="0" xfId="0" applyFont="1" applyFill="1" applyBorder="1" applyAlignment="1">
      <alignment vertical="center" wrapText="1"/>
    </xf>
    <xf numFmtId="0" fontId="26" fillId="3" borderId="0" xfId="0" applyFont="1" applyFill="1" applyBorder="1" applyAlignment="1">
      <alignment vertical="center" wrapText="1"/>
    </xf>
    <xf numFmtId="3" fontId="2" fillId="3" borderId="0" xfId="0" applyNumberFormat="1" applyFont="1" applyFill="1" applyBorder="1" applyAlignment="1" applyProtection="1">
      <alignment horizontal="center" vertical="center"/>
      <protection locked="0"/>
    </xf>
    <xf numFmtId="0" fontId="2" fillId="3" borderId="0" xfId="0" applyFont="1" applyFill="1" applyBorder="1" applyAlignment="1">
      <alignment vertical="center" wrapText="1"/>
    </xf>
    <xf numFmtId="9" fontId="2" fillId="3" borderId="0" xfId="1" applyFont="1" applyFill="1" applyBorder="1" applyAlignment="1" applyProtection="1">
      <alignment horizontal="center"/>
      <protection locked="0"/>
    </xf>
    <xf numFmtId="4" fontId="2" fillId="3" borderId="0" xfId="0" applyNumberFormat="1" applyFont="1" applyFill="1" applyBorder="1" applyAlignment="1" applyProtection="1">
      <alignment horizontal="center" vertical="center"/>
      <protection locked="0"/>
    </xf>
    <xf numFmtId="164" fontId="2" fillId="5" borderId="8" xfId="0" applyNumberFormat="1" applyFont="1" applyFill="1" applyBorder="1" applyAlignment="1" applyProtection="1">
      <alignment horizontal="center" vertical="center"/>
      <protection locked="0"/>
    </xf>
    <xf numFmtId="3" fontId="2" fillId="5" borderId="8" xfId="0" applyNumberFormat="1" applyFont="1" applyFill="1" applyBorder="1" applyAlignment="1" applyProtection="1">
      <alignment horizontal="center" vertical="center"/>
      <protection locked="0"/>
    </xf>
    <xf numFmtId="3" fontId="26" fillId="5" borderId="8" xfId="0" applyNumberFormat="1" applyFont="1" applyFill="1" applyBorder="1" applyAlignment="1" applyProtection="1">
      <alignment horizontal="center" vertical="center"/>
      <protection locked="0"/>
    </xf>
    <xf numFmtId="167" fontId="2" fillId="5" borderId="8" xfId="0" applyNumberFormat="1" applyFont="1" applyFill="1" applyBorder="1" applyAlignment="1" applyProtection="1">
      <alignment horizontal="center" vertical="center"/>
      <protection locked="0"/>
    </xf>
    <xf numFmtId="9" fontId="2" fillId="6" borderId="8" xfId="1" applyFont="1" applyFill="1" applyBorder="1" applyAlignment="1" applyProtection="1">
      <alignment horizontal="center"/>
      <protection locked="0"/>
    </xf>
    <xf numFmtId="4" fontId="2" fillId="5" borderId="8" xfId="0" applyNumberFormat="1" applyFont="1" applyFill="1" applyBorder="1" applyAlignment="1" applyProtection="1">
      <alignment horizontal="center" vertical="center"/>
      <protection locked="0"/>
    </xf>
    <xf numFmtId="3" fontId="2" fillId="5" borderId="23" xfId="0" applyNumberFormat="1" applyFont="1" applyFill="1" applyBorder="1" applyAlignment="1" applyProtection="1">
      <alignment horizontal="center" vertical="center"/>
      <protection locked="0"/>
    </xf>
    <xf numFmtId="3" fontId="26" fillId="0" borderId="8" xfId="0" applyNumberFormat="1" applyFont="1" applyBorder="1" applyAlignment="1">
      <alignment horizontal="center"/>
    </xf>
    <xf numFmtId="0" fontId="2" fillId="3" borderId="38" xfId="0" applyFont="1" applyFill="1" applyBorder="1" applyAlignment="1">
      <alignment vertical="center" wrapText="1"/>
    </xf>
    <xf numFmtId="0" fontId="2" fillId="3" borderId="5" xfId="0" applyFont="1" applyFill="1" applyBorder="1" applyAlignment="1">
      <alignment vertical="center" wrapText="1"/>
    </xf>
    <xf numFmtId="0" fontId="2" fillId="3" borderId="83" xfId="0" applyFont="1" applyFill="1" applyBorder="1" applyAlignment="1">
      <alignment vertical="center" wrapText="1"/>
    </xf>
    <xf numFmtId="0" fontId="2" fillId="16" borderId="83" xfId="0" applyFont="1" applyFill="1" applyBorder="1" applyAlignment="1">
      <alignment vertical="center" wrapText="1"/>
    </xf>
    <xf numFmtId="0" fontId="2" fillId="3" borderId="83" xfId="0" applyFont="1" applyFill="1" applyBorder="1"/>
    <xf numFmtId="0" fontId="32" fillId="61" borderId="0" xfId="0" applyFont="1" applyFill="1" applyAlignment="1">
      <alignment vertical="center"/>
    </xf>
    <xf numFmtId="0" fontId="32" fillId="62" borderId="0" xfId="0" applyFont="1" applyFill="1" applyAlignment="1">
      <alignment vertical="center"/>
    </xf>
    <xf numFmtId="0" fontId="30" fillId="3" borderId="83" xfId="0" applyFont="1" applyFill="1" applyBorder="1"/>
    <xf numFmtId="165" fontId="2" fillId="5" borderId="8" xfId="0" applyNumberFormat="1" applyFont="1" applyFill="1" applyBorder="1" applyAlignment="1" applyProtection="1">
      <alignment horizontal="center" vertical="center"/>
      <protection locked="0"/>
    </xf>
    <xf numFmtId="9" fontId="28" fillId="3" borderId="0" xfId="0" applyNumberFormat="1" applyFont="1" applyFill="1"/>
    <xf numFmtId="164" fontId="31" fillId="3" borderId="0" xfId="0" applyNumberFormat="1" applyFont="1" applyFill="1"/>
    <xf numFmtId="164" fontId="31" fillId="8" borderId="0" xfId="0" applyNumberFormat="1" applyFont="1" applyFill="1"/>
    <xf numFmtId="1" fontId="2" fillId="3" borderId="0" xfId="0" applyNumberFormat="1" applyFont="1" applyFill="1"/>
    <xf numFmtId="164" fontId="31" fillId="14" borderId="0" xfId="0" applyNumberFormat="1" applyFont="1" applyFill="1"/>
    <xf numFmtId="164" fontId="31" fillId="15" borderId="0" xfId="0" applyNumberFormat="1" applyFont="1" applyFill="1"/>
    <xf numFmtId="1" fontId="2" fillId="14" borderId="0" xfId="0" applyNumberFormat="1" applyFont="1" applyFill="1"/>
    <xf numFmtId="1" fontId="2" fillId="15" borderId="0" xfId="0" applyNumberFormat="1" applyFont="1" applyFill="1"/>
    <xf numFmtId="164" fontId="2" fillId="8" borderId="0" xfId="0" applyNumberFormat="1" applyFont="1" applyFill="1"/>
    <xf numFmtId="1" fontId="2" fillId="8" borderId="0" xfId="0" applyNumberFormat="1" applyFont="1" applyFill="1"/>
    <xf numFmtId="9" fontId="2" fillId="3" borderId="0" xfId="1" applyFont="1" applyFill="1" applyAlignment="1">
      <alignment horizontal="center"/>
    </xf>
    <xf numFmtId="9" fontId="2" fillId="3" borderId="0" xfId="1" applyFont="1" applyFill="1"/>
    <xf numFmtId="9" fontId="2" fillId="14" borderId="0" xfId="1" applyFont="1" applyFill="1" applyAlignment="1">
      <alignment horizontal="center"/>
    </xf>
    <xf numFmtId="9" fontId="2" fillId="14" borderId="0" xfId="1" applyFont="1" applyFill="1"/>
    <xf numFmtId="9" fontId="2" fillId="15" borderId="0" xfId="1" applyFont="1" applyFill="1" applyAlignment="1">
      <alignment horizontal="center"/>
    </xf>
    <xf numFmtId="9" fontId="2" fillId="15" borderId="0" xfId="1" applyFont="1" applyFill="1"/>
    <xf numFmtId="0" fontId="2" fillId="3" borderId="0" xfId="0" quotePrefix="1" applyFont="1" applyFill="1" applyBorder="1" applyProtection="1"/>
    <xf numFmtId="0" fontId="30" fillId="14" borderId="0" xfId="0" applyFont="1" applyFill="1" applyBorder="1" applyAlignment="1" applyProtection="1">
      <alignment horizontal="center"/>
    </xf>
    <xf numFmtId="0" fontId="30" fillId="15" borderId="0" xfId="0" applyFont="1" applyFill="1" applyBorder="1" applyAlignment="1" applyProtection="1">
      <alignment horizontal="center"/>
    </xf>
    <xf numFmtId="0" fontId="2" fillId="3" borderId="7" xfId="0" applyFont="1" applyFill="1" applyBorder="1" applyProtection="1"/>
    <xf numFmtId="3" fontId="2" fillId="14" borderId="7" xfId="0" applyNumberFormat="1" applyFont="1" applyFill="1" applyBorder="1" applyAlignment="1" applyProtection="1">
      <alignment horizontal="center"/>
    </xf>
    <xf numFmtId="3" fontId="2" fillId="15" borderId="7" xfId="0" applyNumberFormat="1" applyFont="1" applyFill="1" applyBorder="1" applyAlignment="1" applyProtection="1">
      <alignment horizontal="center"/>
    </xf>
    <xf numFmtId="0" fontId="2" fillId="3" borderId="7" xfId="0" quotePrefix="1" applyFont="1" applyFill="1" applyBorder="1" applyProtection="1"/>
    <xf numFmtId="0" fontId="30" fillId="0" borderId="52" xfId="0" applyFont="1" applyBorder="1" applyAlignment="1">
      <alignment horizontal="center"/>
    </xf>
    <xf numFmtId="3" fontId="2" fillId="3" borderId="55" xfId="0" applyNumberFormat="1" applyFont="1" applyFill="1" applyBorder="1" applyAlignment="1" applyProtection="1">
      <alignment horizontal="center"/>
    </xf>
    <xf numFmtId="0" fontId="31" fillId="3" borderId="7" xfId="0" applyFont="1" applyFill="1" applyBorder="1" applyProtection="1"/>
    <xf numFmtId="3" fontId="31" fillId="3" borderId="55" xfId="0" applyNumberFormat="1" applyFont="1" applyFill="1" applyBorder="1" applyAlignment="1" applyProtection="1">
      <alignment horizontal="center"/>
    </xf>
    <xf numFmtId="3" fontId="31" fillId="14" borderId="7" xfId="0" applyNumberFormat="1" applyFont="1" applyFill="1" applyBorder="1" applyAlignment="1" applyProtection="1">
      <alignment horizontal="center"/>
    </xf>
    <xf numFmtId="3" fontId="31" fillId="15" borderId="7" xfId="0" applyNumberFormat="1" applyFont="1" applyFill="1" applyBorder="1" applyAlignment="1" applyProtection="1">
      <alignment horizontal="center"/>
    </xf>
    <xf numFmtId="0" fontId="4" fillId="2" borderId="0" xfId="0" applyFont="1" applyFill="1" applyBorder="1" applyProtection="1"/>
    <xf numFmtId="0" fontId="4" fillId="2" borderId="0" xfId="0" applyFont="1" applyFill="1" applyBorder="1" applyAlignment="1" applyProtection="1">
      <alignment horizontal="center"/>
    </xf>
    <xf numFmtId="1" fontId="28" fillId="2" borderId="0" xfId="0" applyNumberFormat="1" applyFont="1" applyFill="1"/>
    <xf numFmtId="0" fontId="2" fillId="0" borderId="0" xfId="2" applyFont="1" applyFill="1" applyAlignment="1">
      <alignment vertical="center"/>
    </xf>
    <xf numFmtId="0" fontId="2" fillId="0" borderId="0" xfId="2" applyFont="1" applyFill="1"/>
    <xf numFmtId="0" fontId="29" fillId="0" borderId="0" xfId="0" applyFont="1" applyFill="1" applyBorder="1" applyAlignment="1" applyProtection="1">
      <alignment horizontal="right"/>
    </xf>
    <xf numFmtId="164" fontId="2" fillId="0" borderId="0" xfId="0" applyNumberFormat="1" applyFont="1" applyFill="1"/>
    <xf numFmtId="9" fontId="2" fillId="0" borderId="0" xfId="1" applyFont="1" applyFill="1"/>
    <xf numFmtId="1" fontId="2" fillId="0" borderId="0" xfId="1" applyNumberFormat="1" applyFont="1" applyFill="1" applyAlignment="1">
      <alignment vertical="center"/>
    </xf>
    <xf numFmtId="1" fontId="2" fillId="0" borderId="0" xfId="1" applyNumberFormat="1" applyFont="1" applyFill="1"/>
    <xf numFmtId="1" fontId="29" fillId="0" borderId="0" xfId="1" applyNumberFormat="1" applyFont="1" applyFill="1" applyBorder="1" applyAlignment="1" applyProtection="1">
      <alignment horizontal="right"/>
    </xf>
    <xf numFmtId="9" fontId="2" fillId="0" borderId="0" xfId="0" applyNumberFormat="1" applyFont="1" applyFill="1"/>
    <xf numFmtId="2" fontId="2" fillId="0" borderId="0" xfId="1" applyNumberFormat="1" applyFont="1" applyFill="1"/>
    <xf numFmtId="0" fontId="34" fillId="69" borderId="53" xfId="0" applyFont="1" applyFill="1" applyBorder="1" applyAlignment="1">
      <alignment horizontal="center" vertical="center" wrapText="1"/>
    </xf>
    <xf numFmtId="0" fontId="32" fillId="70" borderId="0" xfId="0" applyFont="1" applyFill="1"/>
    <xf numFmtId="0" fontId="32" fillId="53" borderId="0" xfId="0" applyFont="1" applyFill="1"/>
    <xf numFmtId="0" fontId="2" fillId="53" borderId="0" xfId="0" applyFont="1" applyFill="1"/>
    <xf numFmtId="0" fontId="59" fillId="71" borderId="1" xfId="0" applyFont="1" applyFill="1" applyBorder="1" applyAlignment="1" applyProtection="1">
      <alignment horizontal="center"/>
    </xf>
    <xf numFmtId="0" fontId="12" fillId="72" borderId="0" xfId="0" applyFont="1" applyFill="1"/>
    <xf numFmtId="0" fontId="2" fillId="72" borderId="0" xfId="0" applyFont="1" applyFill="1" applyProtection="1"/>
    <xf numFmtId="0" fontId="32" fillId="64" borderId="0" xfId="0" applyFont="1" applyFill="1"/>
    <xf numFmtId="0" fontId="2" fillId="64" borderId="0" xfId="0" applyFont="1" applyFill="1"/>
    <xf numFmtId="0" fontId="82" fillId="64" borderId="0" xfId="0" applyFont="1" applyFill="1" applyBorder="1" applyAlignment="1">
      <alignment horizontal="right"/>
    </xf>
    <xf numFmtId="167" fontId="82" fillId="64" borderId="0" xfId="0" applyNumberFormat="1" applyFont="1" applyFill="1" applyAlignment="1">
      <alignment horizontal="center"/>
    </xf>
    <xf numFmtId="0" fontId="82" fillId="64" borderId="0" xfId="0" applyFont="1" applyFill="1" applyAlignment="1"/>
    <xf numFmtId="0" fontId="32" fillId="72" borderId="0" xfId="0" applyFont="1" applyFill="1" applyAlignment="1" applyProtection="1"/>
    <xf numFmtId="171" fontId="32" fillId="72" borderId="0" xfId="0" applyNumberFormat="1" applyFont="1" applyFill="1" applyAlignment="1" applyProtection="1">
      <alignment horizontal="center"/>
    </xf>
    <xf numFmtId="0" fontId="2" fillId="70" borderId="0" xfId="0" applyFont="1" applyFill="1" applyBorder="1" applyProtection="1"/>
    <xf numFmtId="0" fontId="2" fillId="70" borderId="0" xfId="0" applyFont="1" applyFill="1" applyBorder="1" applyAlignment="1" applyProtection="1">
      <alignment horizontal="center"/>
    </xf>
    <xf numFmtId="0" fontId="2" fillId="70" borderId="0" xfId="0" applyFont="1" applyFill="1"/>
    <xf numFmtId="0" fontId="49" fillId="73" borderId="0" xfId="0" applyFont="1" applyFill="1" applyBorder="1" applyProtection="1"/>
    <xf numFmtId="0" fontId="2" fillId="73" borderId="0" xfId="0" applyFont="1" applyFill="1" applyBorder="1" applyProtection="1"/>
    <xf numFmtId="0" fontId="30" fillId="73" borderId="0" xfId="0" applyFont="1" applyFill="1" applyBorder="1" applyAlignment="1" applyProtection="1">
      <alignment horizontal="center"/>
    </xf>
    <xf numFmtId="0" fontId="2" fillId="10" borderId="0" xfId="0" applyFont="1" applyFill="1"/>
    <xf numFmtId="0" fontId="90" fillId="2" borderId="0" xfId="2" applyFont="1" applyFill="1"/>
    <xf numFmtId="0" fontId="90" fillId="10" borderId="0" xfId="2" applyFont="1" applyFill="1"/>
    <xf numFmtId="0" fontId="91" fillId="10" borderId="0" xfId="3" applyFont="1" applyFill="1" applyAlignment="1">
      <alignment horizontal="right" vertical="center"/>
    </xf>
    <xf numFmtId="0" fontId="91" fillId="10" borderId="0" xfId="3" applyFont="1" applyFill="1" applyAlignment="1">
      <alignment horizontal="left" vertical="center"/>
    </xf>
    <xf numFmtId="0" fontId="92" fillId="2" borderId="0" xfId="0" applyFont="1" applyFill="1" applyBorder="1"/>
    <xf numFmtId="0" fontId="92" fillId="0" borderId="0" xfId="0" applyFont="1" applyFill="1" applyBorder="1"/>
    <xf numFmtId="0" fontId="33" fillId="9" borderId="0" xfId="2" applyFont="1" applyFill="1"/>
    <xf numFmtId="0" fontId="6" fillId="9" borderId="0" xfId="3" applyFont="1" applyFill="1" applyAlignment="1">
      <alignment horizontal="right" vertical="center"/>
    </xf>
    <xf numFmtId="0" fontId="6" fillId="9" borderId="0" xfId="3" applyFont="1" applyFill="1" applyAlignment="1">
      <alignment horizontal="left" vertical="center"/>
    </xf>
    <xf numFmtId="0" fontId="29" fillId="9" borderId="0" xfId="0" applyFont="1" applyFill="1" applyBorder="1" applyAlignment="1" applyProtection="1">
      <alignment horizontal="right"/>
    </xf>
    <xf numFmtId="0" fontId="33" fillId="74" borderId="0" xfId="2" applyFont="1" applyFill="1"/>
    <xf numFmtId="0" fontId="6" fillId="74" borderId="0" xfId="3" applyFont="1" applyFill="1" applyAlignment="1">
      <alignment horizontal="right" vertical="center"/>
    </xf>
    <xf numFmtId="0" fontId="6" fillId="74" borderId="0" xfId="3" applyFont="1" applyFill="1" applyAlignment="1">
      <alignment horizontal="left" vertical="center"/>
    </xf>
    <xf numFmtId="0" fontId="2" fillId="74" borderId="0" xfId="0" applyFont="1" applyFill="1"/>
    <xf numFmtId="0" fontId="29" fillId="74" borderId="0" xfId="0" applyFont="1" applyFill="1" applyBorder="1" applyAlignment="1" applyProtection="1">
      <alignment horizontal="right"/>
    </xf>
    <xf numFmtId="0" fontId="33" fillId="51" borderId="0" xfId="2" applyFont="1" applyFill="1"/>
    <xf numFmtId="0" fontId="6" fillId="51" borderId="0" xfId="3" applyFont="1" applyFill="1" applyAlignment="1">
      <alignment horizontal="right" vertical="center"/>
    </xf>
    <xf numFmtId="0" fontId="6" fillId="51" borderId="0" xfId="3" applyFont="1" applyFill="1" applyAlignment="1">
      <alignment horizontal="left" vertical="center"/>
    </xf>
    <xf numFmtId="0" fontId="29" fillId="51" borderId="0" xfId="0" applyFont="1" applyFill="1" applyBorder="1" applyAlignment="1" applyProtection="1">
      <alignment horizontal="right"/>
    </xf>
    <xf numFmtId="0" fontId="33" fillId="49" borderId="0" xfId="2" applyFont="1" applyFill="1"/>
    <xf numFmtId="0" fontId="6" fillId="49" borderId="0" xfId="3" applyFont="1" applyFill="1" applyAlignment="1">
      <alignment horizontal="right" vertical="center"/>
    </xf>
    <xf numFmtId="0" fontId="6" fillId="49" borderId="0" xfId="3" applyFont="1" applyFill="1" applyAlignment="1">
      <alignment horizontal="left" vertical="center"/>
    </xf>
    <xf numFmtId="0" fontId="29" fillId="49" borderId="0" xfId="0" applyFont="1" applyFill="1" applyBorder="1" applyAlignment="1" applyProtection="1">
      <alignment horizontal="right"/>
    </xf>
    <xf numFmtId="0" fontId="33" fillId="50" borderId="0" xfId="2" applyFont="1" applyFill="1"/>
    <xf numFmtId="0" fontId="6" fillId="50" borderId="0" xfId="3" applyFont="1" applyFill="1" applyAlignment="1">
      <alignment horizontal="right" vertical="center"/>
    </xf>
    <xf numFmtId="0" fontId="6" fillId="50" borderId="0" xfId="3" applyFont="1" applyFill="1" applyAlignment="1">
      <alignment horizontal="left" vertical="center"/>
    </xf>
    <xf numFmtId="0" fontId="29" fillId="50" borderId="0" xfId="0" applyFont="1" applyFill="1" applyBorder="1" applyAlignment="1" applyProtection="1">
      <alignment horizontal="right"/>
    </xf>
    <xf numFmtId="1" fontId="26" fillId="12" borderId="1" xfId="1" applyNumberFormat="1" applyFont="1" applyFill="1" applyBorder="1" applyAlignment="1" applyProtection="1">
      <alignment horizontal="center" vertical="center"/>
      <protection locked="0"/>
    </xf>
    <xf numFmtId="9" fontId="2" fillId="12" borderId="1" xfId="1" applyFont="1" applyFill="1" applyBorder="1" applyAlignment="1" applyProtection="1">
      <alignment horizontal="center" vertical="center"/>
      <protection locked="0"/>
    </xf>
    <xf numFmtId="0" fontId="30" fillId="3" borderId="0" xfId="0" applyFont="1" applyFill="1" applyAlignment="1">
      <alignment horizontal="center"/>
    </xf>
    <xf numFmtId="0" fontId="51" fillId="8" borderId="0" xfId="0" applyFont="1" applyFill="1"/>
    <xf numFmtId="0" fontId="4" fillId="8" borderId="0" xfId="0" applyFont="1" applyFill="1"/>
    <xf numFmtId="0" fontId="33" fillId="3" borderId="0" xfId="0" applyFont="1" applyFill="1" applyAlignment="1">
      <alignment horizontal="center"/>
    </xf>
    <xf numFmtId="165" fontId="2" fillId="3" borderId="1" xfId="0" applyNumberFormat="1" applyFont="1" applyFill="1" applyBorder="1" applyAlignment="1">
      <alignment horizontal="center"/>
    </xf>
    <xf numFmtId="165" fontId="2" fillId="3" borderId="0" xfId="0" applyNumberFormat="1" applyFont="1" applyFill="1" applyBorder="1" applyAlignment="1">
      <alignment horizontal="center"/>
    </xf>
    <xf numFmtId="167" fontId="33" fillId="0" borderId="1" xfId="0" applyNumberFormat="1" applyFont="1" applyBorder="1" applyAlignment="1">
      <alignment horizontal="center"/>
    </xf>
    <xf numFmtId="3" fontId="33" fillId="3" borderId="1" xfId="0" applyNumberFormat="1" applyFont="1" applyFill="1" applyBorder="1" applyAlignment="1" applyProtection="1">
      <alignment horizontal="center" vertical="center"/>
    </xf>
    <xf numFmtId="167" fontId="30" fillId="0" borderId="1" xfId="0" applyNumberFormat="1" applyFont="1" applyBorder="1" applyAlignment="1">
      <alignment horizontal="center"/>
    </xf>
    <xf numFmtId="165" fontId="30" fillId="3" borderId="1" xfId="0" applyNumberFormat="1" applyFont="1" applyFill="1" applyBorder="1" applyAlignment="1">
      <alignment horizontal="center"/>
    </xf>
    <xf numFmtId="165" fontId="30" fillId="3" borderId="0" xfId="0" applyNumberFormat="1" applyFont="1" applyFill="1" applyBorder="1" applyAlignment="1">
      <alignment horizontal="center"/>
    </xf>
    <xf numFmtId="0" fontId="2" fillId="3" borderId="55" xfId="0" applyFont="1" applyFill="1" applyBorder="1" applyAlignment="1">
      <alignment horizontal="center"/>
    </xf>
    <xf numFmtId="0" fontId="33" fillId="3" borderId="55" xfId="0" applyFont="1" applyFill="1" applyBorder="1" applyAlignment="1">
      <alignment horizontal="center"/>
    </xf>
    <xf numFmtId="0" fontId="2" fillId="3" borderId="26" xfId="0" applyFont="1" applyFill="1" applyBorder="1"/>
    <xf numFmtId="0" fontId="2" fillId="3" borderId="27" xfId="0" applyFont="1" applyFill="1" applyBorder="1"/>
    <xf numFmtId="0" fontId="2" fillId="3" borderId="84" xfId="0" applyFont="1" applyFill="1" applyBorder="1" applyAlignment="1">
      <alignment horizontal="center"/>
    </xf>
    <xf numFmtId="0" fontId="2" fillId="3" borderId="12" xfId="0" applyFont="1" applyFill="1" applyBorder="1"/>
    <xf numFmtId="165" fontId="2" fillId="3" borderId="85" xfId="0" applyNumberFormat="1" applyFont="1" applyFill="1" applyBorder="1" applyAlignment="1">
      <alignment horizontal="center"/>
    </xf>
    <xf numFmtId="0" fontId="30" fillId="3" borderId="12" xfId="0" applyFont="1" applyFill="1" applyBorder="1"/>
    <xf numFmtId="0" fontId="2" fillId="3" borderId="14" xfId="0" applyFont="1" applyFill="1" applyBorder="1"/>
    <xf numFmtId="0" fontId="2" fillId="3" borderId="15" xfId="0" applyFont="1" applyFill="1" applyBorder="1"/>
    <xf numFmtId="165" fontId="2" fillId="3" borderId="86" xfId="0" applyNumberFormat="1" applyFont="1" applyFill="1" applyBorder="1" applyAlignment="1">
      <alignment horizontal="center"/>
    </xf>
    <xf numFmtId="0" fontId="2" fillId="3" borderId="5" xfId="0" applyFont="1" applyFill="1" applyBorder="1"/>
    <xf numFmtId="9" fontId="2" fillId="8" borderId="1" xfId="1" applyFont="1" applyFill="1" applyBorder="1" applyAlignment="1" applyProtection="1">
      <alignment horizontal="center" vertical="center"/>
    </xf>
    <xf numFmtId="0" fontId="82" fillId="72" borderId="0" xfId="0" applyFont="1" applyFill="1" applyAlignment="1" applyProtection="1"/>
    <xf numFmtId="9" fontId="2" fillId="14" borderId="0" xfId="1" applyFont="1" applyFill="1" applyAlignment="1">
      <alignment horizontal="center" wrapText="1"/>
    </xf>
    <xf numFmtId="0" fontId="2" fillId="6" borderId="83" xfId="0" applyFont="1" applyFill="1" applyBorder="1" applyProtection="1">
      <protection locked="0"/>
    </xf>
    <xf numFmtId="0" fontId="2" fillId="3" borderId="0" xfId="0" applyFont="1" applyFill="1" applyAlignment="1">
      <alignment horizontal="center" vertical="center"/>
    </xf>
    <xf numFmtId="0" fontId="30" fillId="3" borderId="0" xfId="0" applyFont="1" applyFill="1" applyAlignment="1">
      <alignment horizontal="center" vertical="center"/>
    </xf>
    <xf numFmtId="9" fontId="30" fillId="3" borderId="0" xfId="1" applyFont="1" applyFill="1" applyAlignment="1">
      <alignment horizontal="center" vertical="center"/>
    </xf>
    <xf numFmtId="9" fontId="30" fillId="12" borderId="90" xfId="1" applyFont="1" applyFill="1" applyBorder="1" applyAlignment="1" applyProtection="1">
      <alignment horizontal="center" vertical="center"/>
      <protection locked="0"/>
    </xf>
    <xf numFmtId="9" fontId="30" fillId="12" borderId="55" xfId="1" applyFont="1" applyFill="1" applyBorder="1" applyAlignment="1" applyProtection="1">
      <alignment horizontal="center" vertical="center"/>
      <protection locked="0"/>
    </xf>
    <xf numFmtId="0" fontId="26" fillId="3" borderId="0" xfId="0" applyFont="1" applyFill="1" applyBorder="1" applyAlignment="1">
      <alignment vertical="center"/>
    </xf>
    <xf numFmtId="166" fontId="26" fillId="3" borderId="0" xfId="0" applyNumberFormat="1" applyFont="1" applyFill="1" applyAlignment="1">
      <alignment vertical="center"/>
    </xf>
    <xf numFmtId="166" fontId="26" fillId="0" borderId="91" xfId="1" applyNumberFormat="1" applyFont="1" applyBorder="1" applyAlignment="1">
      <alignment horizontal="center" vertical="center"/>
    </xf>
    <xf numFmtId="0" fontId="34" fillId="3" borderId="0" xfId="0" applyFont="1" applyFill="1" applyAlignment="1">
      <alignment horizontal="center" vertical="center" wrapText="1"/>
    </xf>
    <xf numFmtId="0" fontId="4" fillId="3" borderId="0" xfId="0" applyFont="1" applyFill="1"/>
    <xf numFmtId="3" fontId="51" fillId="2" borderId="0" xfId="0" applyNumberFormat="1" applyFont="1" applyFill="1"/>
    <xf numFmtId="0" fontId="4" fillId="2" borderId="0" xfId="2" applyFont="1" applyFill="1" applyAlignment="1">
      <alignment vertical="center"/>
    </xf>
    <xf numFmtId="0" fontId="4" fillId="2" borderId="0" xfId="2" applyFont="1" applyFill="1"/>
    <xf numFmtId="0" fontId="4" fillId="0" borderId="0" xfId="0" applyFont="1"/>
    <xf numFmtId="0" fontId="51" fillId="2" borderId="0" xfId="2" applyFont="1" applyFill="1" applyAlignment="1">
      <alignment vertical="center"/>
    </xf>
    <xf numFmtId="0" fontId="51" fillId="2" borderId="0" xfId="2" applyFont="1" applyFill="1"/>
    <xf numFmtId="0" fontId="51" fillId="0" borderId="0" xfId="0" applyFont="1"/>
    <xf numFmtId="0" fontId="93" fillId="3" borderId="0" xfId="0" applyFont="1" applyFill="1" applyAlignment="1">
      <alignment horizontal="right" vertical="top"/>
    </xf>
    <xf numFmtId="0" fontId="34" fillId="8" borderId="0" xfId="0" applyFont="1" applyFill="1" applyAlignment="1">
      <alignment horizontal="center" wrapText="1"/>
    </xf>
    <xf numFmtId="0" fontId="2" fillId="3" borderId="0" xfId="0" applyFont="1" applyFill="1" applyAlignment="1">
      <alignment horizontal="left"/>
    </xf>
    <xf numFmtId="0" fontId="10" fillId="3" borderId="0" xfId="0" applyFont="1" applyFill="1" applyBorder="1" applyAlignment="1" applyProtection="1">
      <alignment horizontal="right"/>
    </xf>
    <xf numFmtId="0" fontId="4" fillId="3" borderId="7" xfId="0" applyFont="1" applyFill="1" applyBorder="1" applyAlignment="1" applyProtection="1">
      <alignment horizontal="left"/>
    </xf>
    <xf numFmtId="0" fontId="4" fillId="3" borderId="5" xfId="0" applyFont="1" applyFill="1" applyBorder="1" applyAlignment="1" applyProtection="1">
      <alignment horizontal="left"/>
    </xf>
    <xf numFmtId="0" fontId="0" fillId="17" borderId="38" xfId="0" applyFill="1" applyBorder="1" applyAlignment="1" applyProtection="1">
      <alignment horizontal="center" vertical="center"/>
    </xf>
    <xf numFmtId="0" fontId="48" fillId="2" borderId="47" xfId="0" applyFont="1" applyFill="1" applyBorder="1" applyAlignment="1" applyProtection="1">
      <alignment horizontal="center" vertical="center" wrapText="1"/>
    </xf>
    <xf numFmtId="164" fontId="2" fillId="2" borderId="1" xfId="2" applyNumberFormat="1" applyFont="1" applyFill="1" applyBorder="1" applyAlignment="1" applyProtection="1">
      <alignment horizontal="center"/>
    </xf>
    <xf numFmtId="2" fontId="31" fillId="57" borderId="0" xfId="0" applyNumberFormat="1" applyFont="1" applyFill="1" applyBorder="1" applyAlignment="1">
      <alignment horizontal="right" vertical="center"/>
    </xf>
    <xf numFmtId="0" fontId="2" fillId="22" borderId="0" xfId="0" applyFont="1" applyFill="1" applyBorder="1"/>
    <xf numFmtId="2" fontId="2" fillId="22" borderId="0" xfId="0" applyNumberFormat="1" applyFont="1" applyFill="1" applyBorder="1" applyAlignment="1">
      <alignment horizontal="right" vertical="center"/>
    </xf>
    <xf numFmtId="0" fontId="2" fillId="18" borderId="0" xfId="0" applyFont="1" applyFill="1" applyBorder="1"/>
    <xf numFmtId="9" fontId="2" fillId="22" borderId="0" xfId="0" applyNumberFormat="1" applyFont="1" applyFill="1" applyBorder="1"/>
    <xf numFmtId="9" fontId="2" fillId="18" borderId="0" xfId="0" applyNumberFormat="1" applyFont="1" applyFill="1" applyBorder="1"/>
    <xf numFmtId="9" fontId="31" fillId="57" borderId="92" xfId="0" applyNumberFormat="1" applyFont="1" applyFill="1" applyBorder="1"/>
    <xf numFmtId="0" fontId="2" fillId="57" borderId="93" xfId="0" applyFont="1" applyFill="1" applyBorder="1"/>
    <xf numFmtId="0" fontId="2" fillId="57" borderId="94" xfId="0" applyFont="1" applyFill="1" applyBorder="1"/>
    <xf numFmtId="0" fontId="2" fillId="57" borderId="95" xfId="0" applyFont="1" applyFill="1" applyBorder="1"/>
    <xf numFmtId="0" fontId="52" fillId="57" borderId="96" xfId="0" applyFont="1" applyFill="1" applyBorder="1" applyAlignment="1">
      <alignment vertical="center"/>
    </xf>
    <xf numFmtId="9" fontId="30" fillId="22" borderId="95" xfId="0" applyNumberFormat="1" applyFont="1" applyFill="1" applyBorder="1"/>
    <xf numFmtId="0" fontId="2" fillId="22" borderId="96" xfId="0" applyFont="1" applyFill="1" applyBorder="1"/>
    <xf numFmtId="0" fontId="30" fillId="22" borderId="96" xfId="0" applyFont="1" applyFill="1" applyBorder="1" applyAlignment="1">
      <alignment vertical="center"/>
    </xf>
    <xf numFmtId="0" fontId="2" fillId="18" borderId="95" xfId="0" applyFont="1" applyFill="1" applyBorder="1"/>
    <xf numFmtId="0" fontId="2" fillId="18" borderId="96" xfId="0" applyFont="1" applyFill="1" applyBorder="1"/>
    <xf numFmtId="0" fontId="2" fillId="18" borderId="97" xfId="0" applyFont="1" applyFill="1" applyBorder="1"/>
    <xf numFmtId="2" fontId="2" fillId="18" borderId="98" xfId="0" applyNumberFormat="1" applyFont="1" applyFill="1" applyBorder="1"/>
    <xf numFmtId="0" fontId="30" fillId="18" borderId="99" xfId="0" applyFont="1" applyFill="1" applyBorder="1" applyAlignment="1">
      <alignment vertical="center"/>
    </xf>
    <xf numFmtId="9" fontId="2" fillId="57" borderId="93" xfId="0" applyNumberFormat="1" applyFont="1" applyFill="1" applyBorder="1"/>
    <xf numFmtId="9" fontId="2" fillId="57" borderId="94" xfId="0" applyNumberFormat="1" applyFont="1" applyFill="1" applyBorder="1"/>
    <xf numFmtId="9" fontId="2" fillId="57" borderId="95" xfId="0" applyNumberFormat="1" applyFont="1" applyFill="1" applyBorder="1"/>
    <xf numFmtId="9" fontId="52" fillId="57" borderId="96" xfId="0" applyNumberFormat="1" applyFont="1" applyFill="1" applyBorder="1" applyAlignment="1">
      <alignment vertical="center"/>
    </xf>
    <xf numFmtId="9" fontId="2" fillId="22" borderId="96" xfId="0" applyNumberFormat="1" applyFont="1" applyFill="1" applyBorder="1"/>
    <xf numFmtId="9" fontId="30" fillId="22" borderId="96" xfId="0" applyNumberFormat="1" applyFont="1" applyFill="1" applyBorder="1" applyAlignment="1">
      <alignment vertical="center"/>
    </xf>
    <xf numFmtId="9" fontId="2" fillId="18" borderId="95" xfId="0" applyNumberFormat="1" applyFont="1" applyFill="1" applyBorder="1"/>
    <xf numFmtId="9" fontId="2" fillId="18" borderId="96" xfId="0" applyNumberFormat="1" applyFont="1" applyFill="1" applyBorder="1"/>
    <xf numFmtId="9" fontId="2" fillId="18" borderId="97" xfId="0" applyNumberFormat="1" applyFont="1" applyFill="1" applyBorder="1"/>
    <xf numFmtId="9" fontId="30" fillId="18" borderId="99" xfId="0" applyNumberFormat="1" applyFont="1" applyFill="1" applyBorder="1" applyAlignment="1">
      <alignment vertical="center"/>
    </xf>
    <xf numFmtId="9" fontId="31" fillId="15" borderId="100" xfId="0" applyNumberFormat="1" applyFont="1" applyFill="1" applyBorder="1"/>
    <xf numFmtId="0" fontId="2" fillId="15" borderId="101" xfId="0" applyFont="1" applyFill="1" applyBorder="1"/>
    <xf numFmtId="0" fontId="2" fillId="15" borderId="102" xfId="0" applyFont="1" applyFill="1" applyBorder="1"/>
    <xf numFmtId="0" fontId="2" fillId="15" borderId="103" xfId="0" applyFont="1" applyFill="1" applyBorder="1"/>
    <xf numFmtId="2" fontId="31" fillId="15" borderId="0" xfId="0" applyNumberFormat="1" applyFont="1" applyFill="1" applyBorder="1" applyAlignment="1">
      <alignment horizontal="right" vertical="center"/>
    </xf>
    <xf numFmtId="0" fontId="52" fillId="15" borderId="104" xfId="0" applyFont="1" applyFill="1" applyBorder="1" applyAlignment="1">
      <alignment vertical="center"/>
    </xf>
    <xf numFmtId="9" fontId="30" fillId="23" borderId="103" xfId="0" applyNumberFormat="1" applyFont="1" applyFill="1" applyBorder="1"/>
    <xf numFmtId="0" fontId="2" fillId="23" borderId="0" xfId="0" applyFont="1" applyFill="1" applyBorder="1"/>
    <xf numFmtId="0" fontId="2" fillId="23" borderId="104" xfId="0" applyFont="1" applyFill="1" applyBorder="1"/>
    <xf numFmtId="0" fontId="2" fillId="23" borderId="105" xfId="0" applyFont="1" applyFill="1" applyBorder="1"/>
    <xf numFmtId="2" fontId="2" fillId="23" borderId="106" xfId="0" applyNumberFormat="1" applyFont="1" applyFill="1" applyBorder="1" applyAlignment="1">
      <alignment horizontal="right" vertical="center"/>
    </xf>
    <xf numFmtId="0" fontId="30" fillId="23" borderId="107" xfId="0" applyFont="1" applyFill="1" applyBorder="1" applyAlignment="1">
      <alignment vertical="center"/>
    </xf>
    <xf numFmtId="3" fontId="30" fillId="3" borderId="55" xfId="0" applyNumberFormat="1" applyFont="1" applyFill="1" applyBorder="1" applyAlignment="1">
      <alignment horizontal="center"/>
    </xf>
    <xf numFmtId="9" fontId="30" fillId="3" borderId="55" xfId="1" applyFont="1" applyFill="1" applyBorder="1" applyAlignment="1">
      <alignment horizontal="center"/>
    </xf>
    <xf numFmtId="3" fontId="26" fillId="3" borderId="55" xfId="0" applyNumberFormat="1" applyFont="1" applyFill="1" applyBorder="1" applyAlignment="1">
      <alignment horizontal="center"/>
    </xf>
    <xf numFmtId="0" fontId="2" fillId="2" borderId="0" xfId="0" applyFont="1" applyFill="1" applyAlignment="1">
      <alignment vertical="center"/>
    </xf>
    <xf numFmtId="0" fontId="31" fillId="0" borderId="0" xfId="0" applyFont="1" applyAlignment="1">
      <alignment vertical="center"/>
    </xf>
    <xf numFmtId="0" fontId="2" fillId="0" borderId="0" xfId="0" applyFont="1" applyAlignment="1">
      <alignment vertical="center"/>
    </xf>
    <xf numFmtId="167" fontId="2" fillId="0" borderId="2" xfId="0" applyNumberFormat="1" applyFont="1" applyBorder="1" applyAlignment="1">
      <alignment horizontal="center" vertical="center"/>
    </xf>
    <xf numFmtId="3" fontId="26" fillId="0" borderId="2" xfId="0" applyNumberFormat="1" applyFont="1" applyBorder="1" applyAlignment="1">
      <alignment horizontal="center" vertical="center"/>
    </xf>
    <xf numFmtId="3" fontId="2" fillId="23" borderId="0" xfId="0" applyNumberFormat="1" applyFont="1" applyFill="1" applyAlignment="1">
      <alignment horizontal="center" vertical="center"/>
    </xf>
    <xf numFmtId="164" fontId="2" fillId="22" borderId="0" xfId="0" applyNumberFormat="1" applyFont="1" applyFill="1" applyAlignment="1">
      <alignment horizontal="center" vertical="center"/>
    </xf>
    <xf numFmtId="3" fontId="26" fillId="3" borderId="0" xfId="0" applyNumberFormat="1" applyFont="1" applyFill="1" applyBorder="1" applyAlignment="1">
      <alignment horizontal="center" vertical="center"/>
    </xf>
    <xf numFmtId="1" fontId="2" fillId="0" borderId="0" xfId="0" applyNumberFormat="1" applyFont="1" applyAlignment="1">
      <alignment horizontal="center" vertical="center"/>
    </xf>
    <xf numFmtId="1" fontId="2" fillId="8" borderId="0" xfId="0" applyNumberFormat="1" applyFont="1" applyFill="1" applyAlignment="1">
      <alignment horizontal="center" vertical="center"/>
    </xf>
    <xf numFmtId="164" fontId="2" fillId="0" borderId="0" xfId="0" applyNumberFormat="1" applyFont="1" applyAlignment="1">
      <alignment horizontal="center" vertical="center"/>
    </xf>
    <xf numFmtId="0" fontId="32" fillId="72" borderId="0" xfId="0" applyFont="1" applyFill="1"/>
    <xf numFmtId="4" fontId="2" fillId="3" borderId="1" xfId="0" applyNumberFormat="1" applyFont="1" applyFill="1" applyBorder="1" applyAlignment="1" applyProtection="1">
      <alignment horizontal="center"/>
    </xf>
    <xf numFmtId="3" fontId="2" fillId="0" borderId="25" xfId="0" applyNumberFormat="1" applyFont="1" applyBorder="1"/>
    <xf numFmtId="3" fontId="2" fillId="3" borderId="2" xfId="0" applyNumberFormat="1" applyFont="1" applyFill="1" applyBorder="1"/>
    <xf numFmtId="3" fontId="2" fillId="3" borderId="0" xfId="0" applyNumberFormat="1" applyFont="1" applyFill="1" applyBorder="1"/>
    <xf numFmtId="0" fontId="52" fillId="23" borderId="0" xfId="0" applyFont="1" applyFill="1" applyAlignment="1">
      <alignment horizontal="center" wrapText="1"/>
    </xf>
    <xf numFmtId="0" fontId="34" fillId="23" borderId="0" xfId="0" applyFont="1" applyFill="1" applyAlignment="1">
      <alignment horizontal="center" wrapText="1"/>
    </xf>
    <xf numFmtId="164" fontId="2" fillId="10" borderId="58" xfId="0" applyNumberFormat="1" applyFont="1" applyFill="1" applyBorder="1" applyAlignment="1">
      <alignment horizontal="center"/>
    </xf>
    <xf numFmtId="0" fontId="34" fillId="23" borderId="0" xfId="0" applyFont="1" applyFill="1" applyAlignment="1">
      <alignment horizontal="center" vertical="top" wrapText="1"/>
    </xf>
    <xf numFmtId="0" fontId="2" fillId="3" borderId="4" xfId="0" applyFont="1" applyFill="1" applyBorder="1"/>
    <xf numFmtId="0" fontId="2" fillId="3" borderId="62" xfId="0" applyFont="1" applyFill="1" applyBorder="1"/>
    <xf numFmtId="167" fontId="2" fillId="3" borderId="59" xfId="0" applyNumberFormat="1" applyFont="1" applyFill="1" applyBorder="1" applyAlignment="1" applyProtection="1">
      <alignment horizontal="center"/>
    </xf>
    <xf numFmtId="3" fontId="2" fillId="23" borderId="8" xfId="0" applyNumberFormat="1" applyFont="1" applyFill="1" applyBorder="1" applyAlignment="1" applyProtection="1">
      <alignment horizontal="center"/>
    </xf>
    <xf numFmtId="3" fontId="2" fillId="23" borderId="1" xfId="0" applyNumberFormat="1" applyFont="1" applyFill="1" applyBorder="1" applyAlignment="1" applyProtection="1">
      <alignment horizontal="center"/>
    </xf>
    <xf numFmtId="3" fontId="2" fillId="23" borderId="1" xfId="0" applyNumberFormat="1" applyFont="1" applyFill="1" applyBorder="1"/>
    <xf numFmtId="167" fontId="2" fillId="3" borderId="60" xfId="0" applyNumberFormat="1" applyFont="1" applyFill="1" applyBorder="1" applyAlignment="1" applyProtection="1">
      <alignment horizontal="center"/>
    </xf>
    <xf numFmtId="167" fontId="2" fillId="3" borderId="6" xfId="0" applyNumberFormat="1" applyFont="1" applyFill="1" applyBorder="1" applyAlignment="1" applyProtection="1">
      <alignment horizontal="center"/>
    </xf>
    <xf numFmtId="0" fontId="37" fillId="3" borderId="0" xfId="0" applyFont="1" applyFill="1"/>
    <xf numFmtId="0" fontId="95" fillId="3" borderId="0" xfId="0" applyFont="1" applyFill="1"/>
    <xf numFmtId="165" fontId="2" fillId="0" borderId="1" xfId="0" applyNumberFormat="1" applyFont="1" applyBorder="1" applyAlignment="1">
      <alignment horizontal="center"/>
    </xf>
    <xf numFmtId="0" fontId="96" fillId="3" borderId="7" xfId="0" applyFont="1" applyFill="1" applyBorder="1"/>
    <xf numFmtId="3" fontId="2" fillId="0" borderId="2" xfId="0" applyNumberFormat="1" applyFont="1" applyBorder="1"/>
    <xf numFmtId="9" fontId="28" fillId="3" borderId="0" xfId="1" applyFont="1" applyFill="1" applyAlignment="1">
      <alignment horizontal="center"/>
    </xf>
    <xf numFmtId="9" fontId="4" fillId="3" borderId="0" xfId="1" applyFont="1" applyFill="1" applyAlignment="1">
      <alignment horizontal="center"/>
    </xf>
    <xf numFmtId="164" fontId="2" fillId="3" borderId="1" xfId="0" applyNumberFormat="1" applyFont="1" applyFill="1" applyBorder="1" applyAlignment="1" applyProtection="1">
      <alignment horizontal="center"/>
    </xf>
    <xf numFmtId="3" fontId="97" fillId="8" borderId="0" xfId="4" applyNumberFormat="1" applyFont="1" applyFill="1" applyAlignment="1">
      <alignment horizontal="center"/>
    </xf>
    <xf numFmtId="9" fontId="97" fillId="8" borderId="0" xfId="4" applyNumberFormat="1" applyFont="1" applyFill="1" applyAlignment="1">
      <alignment horizontal="left"/>
    </xf>
    <xf numFmtId="0" fontId="2" fillId="3" borderId="0" xfId="0" applyFont="1" applyFill="1" applyProtection="1"/>
    <xf numFmtId="1" fontId="97" fillId="8" borderId="0" xfId="4" applyNumberFormat="1" applyFont="1" applyFill="1" applyAlignment="1">
      <alignment horizontal="center"/>
    </xf>
    <xf numFmtId="0" fontId="52" fillId="3" borderId="0" xfId="0" applyFont="1" applyFill="1" applyAlignment="1">
      <alignment horizontal="center" vertical="center" wrapText="1"/>
    </xf>
    <xf numFmtId="164" fontId="2" fillId="3" borderId="59" xfId="0" applyNumberFormat="1" applyFont="1" applyFill="1" applyBorder="1" applyAlignment="1" applyProtection="1">
      <alignment horizontal="center"/>
    </xf>
    <xf numFmtId="168" fontId="28" fillId="3" borderId="0" xfId="0" applyNumberFormat="1" applyFont="1" applyFill="1"/>
    <xf numFmtId="164" fontId="2" fillId="3" borderId="60" xfId="0" applyNumberFormat="1" applyFont="1" applyFill="1" applyBorder="1" applyAlignment="1" applyProtection="1">
      <alignment horizontal="center"/>
    </xf>
    <xf numFmtId="164" fontId="2" fillId="3" borderId="6" xfId="0" applyNumberFormat="1" applyFont="1" applyFill="1" applyBorder="1" applyAlignment="1" applyProtection="1">
      <alignment horizontal="center"/>
    </xf>
    <xf numFmtId="164" fontId="2" fillId="0" borderId="0" xfId="0" applyNumberFormat="1" applyFont="1" applyBorder="1" applyAlignment="1">
      <alignment horizontal="center"/>
    </xf>
    <xf numFmtId="169" fontId="28" fillId="3" borderId="0" xfId="0" applyNumberFormat="1" applyFont="1" applyFill="1"/>
    <xf numFmtId="0" fontId="28" fillId="0" borderId="0" xfId="0" applyFont="1"/>
    <xf numFmtId="2" fontId="28" fillId="3" borderId="0" xfId="0" applyNumberFormat="1" applyFont="1" applyFill="1"/>
    <xf numFmtId="3" fontId="2" fillId="0" borderId="1" xfId="0" applyNumberFormat="1" applyFont="1" applyBorder="1" applyAlignment="1">
      <alignment horizontal="center"/>
    </xf>
    <xf numFmtId="0" fontId="38" fillId="8" borderId="0" xfId="0" applyFont="1" applyFill="1"/>
    <xf numFmtId="9" fontId="2" fillId="0" borderId="0" xfId="0" applyNumberFormat="1" applyFont="1"/>
    <xf numFmtId="0" fontId="34" fillId="3" borderId="7" xfId="0" applyFont="1" applyFill="1" applyBorder="1"/>
    <xf numFmtId="3" fontId="30" fillId="0" borderId="1" xfId="0" applyNumberFormat="1" applyFont="1" applyBorder="1"/>
    <xf numFmtId="3" fontId="30" fillId="0" borderId="25" xfId="0" applyNumberFormat="1" applyFont="1" applyBorder="1"/>
    <xf numFmtId="3" fontId="30" fillId="3" borderId="2" xfId="0" applyNumberFormat="1" applyFont="1" applyFill="1" applyBorder="1"/>
    <xf numFmtId="3" fontId="30" fillId="0" borderId="2" xfId="0" applyNumberFormat="1" applyFont="1" applyBorder="1"/>
    <xf numFmtId="3" fontId="30" fillId="3" borderId="34" xfId="0" applyNumberFormat="1" applyFont="1" applyFill="1" applyBorder="1" applyAlignment="1" applyProtection="1">
      <alignment horizontal="center"/>
    </xf>
    <xf numFmtId="3" fontId="30" fillId="3" borderId="1" xfId="0" applyNumberFormat="1" applyFont="1" applyFill="1" applyBorder="1" applyAlignment="1" applyProtection="1">
      <alignment horizontal="center"/>
    </xf>
    <xf numFmtId="3" fontId="26" fillId="3" borderId="1" xfId="0" applyNumberFormat="1" applyFont="1" applyFill="1" applyBorder="1" applyAlignment="1" applyProtection="1">
      <alignment horizontal="center" vertical="center"/>
    </xf>
    <xf numFmtId="164" fontId="26" fillId="5" borderId="8" xfId="0" applyNumberFormat="1" applyFont="1" applyFill="1" applyBorder="1" applyAlignment="1" applyProtection="1">
      <alignment horizontal="center" vertical="center"/>
      <protection locked="0"/>
    </xf>
    <xf numFmtId="0" fontId="26" fillId="3" borderId="5" xfId="0" applyFont="1" applyFill="1" applyBorder="1" applyAlignment="1">
      <alignment vertical="center"/>
    </xf>
    <xf numFmtId="0" fontId="52" fillId="3" borderId="0" xfId="0" applyFont="1" applyFill="1"/>
    <xf numFmtId="0" fontId="98" fillId="3" borderId="0" xfId="0" applyFont="1" applyFill="1" applyAlignment="1">
      <alignment horizontal="center" vertical="center" wrapText="1"/>
    </xf>
    <xf numFmtId="0" fontId="98" fillId="0" borderId="51" xfId="0" applyFont="1" applyBorder="1" applyAlignment="1">
      <alignment horizontal="center" wrapText="1"/>
    </xf>
    <xf numFmtId="1" fontId="31" fillId="57" borderId="0" xfId="0" applyNumberFormat="1" applyFont="1" applyFill="1" applyBorder="1" applyAlignment="1">
      <alignment horizontal="right" vertical="center"/>
    </xf>
    <xf numFmtId="1" fontId="2" fillId="22" borderId="0" xfId="0" applyNumberFormat="1" applyFont="1" applyFill="1" applyBorder="1" applyAlignment="1">
      <alignment horizontal="right" vertical="center"/>
    </xf>
    <xf numFmtId="1" fontId="2" fillId="18" borderId="98" xfId="0" applyNumberFormat="1" applyFont="1" applyFill="1" applyBorder="1"/>
    <xf numFmtId="1" fontId="0" fillId="5" borderId="7" xfId="0" applyNumberFormat="1" applyFill="1" applyBorder="1" applyAlignment="1" applyProtection="1">
      <alignment horizontal="left" vertical="center"/>
      <protection locked="0"/>
    </xf>
    <xf numFmtId="1" fontId="0" fillId="5" borderId="40" xfId="0" applyNumberFormat="1" applyFill="1" applyBorder="1" applyAlignment="1" applyProtection="1">
      <alignment horizontal="left" vertical="center"/>
      <protection locked="0"/>
    </xf>
    <xf numFmtId="1" fontId="0" fillId="5" borderId="0" xfId="0" applyNumberFormat="1" applyFill="1" applyBorder="1" applyAlignment="1" applyProtection="1">
      <alignment horizontal="left" vertical="center"/>
      <protection locked="0"/>
    </xf>
    <xf numFmtId="1" fontId="27" fillId="5" borderId="7" xfId="4" applyNumberFormat="1" applyFill="1" applyBorder="1" applyAlignment="1" applyProtection="1">
      <alignment horizontal="left" vertical="center"/>
      <protection locked="0"/>
    </xf>
    <xf numFmtId="3" fontId="26" fillId="0" borderId="25" xfId="0" applyNumberFormat="1" applyFont="1" applyBorder="1" applyAlignment="1">
      <alignment horizontal="center" vertical="center"/>
    </xf>
    <xf numFmtId="3" fontId="26" fillId="0" borderId="6" xfId="0" applyNumberFormat="1" applyFont="1" applyBorder="1" applyAlignment="1">
      <alignment horizontal="center" vertical="center"/>
    </xf>
    <xf numFmtId="0" fontId="83" fillId="2" borderId="0" xfId="4" applyFont="1" applyFill="1" applyAlignment="1">
      <alignment horizontal="center" vertical="center" wrapText="1"/>
    </xf>
    <xf numFmtId="0" fontId="2" fillId="3" borderId="0" xfId="0" applyFont="1" applyFill="1" applyBorder="1" applyAlignment="1">
      <alignment horizontal="right" vertical="center" wrapText="1"/>
    </xf>
    <xf numFmtId="0" fontId="2" fillId="3" borderId="13" xfId="0" applyFont="1" applyFill="1" applyBorder="1" applyAlignment="1">
      <alignment horizontal="right" vertical="center" wrapText="1"/>
    </xf>
    <xf numFmtId="0" fontId="26" fillId="8" borderId="38" xfId="0" applyFont="1" applyFill="1" applyBorder="1" applyAlignment="1">
      <alignment horizontal="left" vertical="center"/>
    </xf>
    <xf numFmtId="0" fontId="26" fillId="8" borderId="7" xfId="0" applyFont="1" applyFill="1" applyBorder="1" applyAlignment="1">
      <alignment horizontal="left" vertical="center"/>
    </xf>
    <xf numFmtId="0" fontId="26" fillId="8" borderId="5" xfId="0" applyFont="1" applyFill="1" applyBorder="1" applyAlignment="1">
      <alignment horizontal="left" vertical="center"/>
    </xf>
    <xf numFmtId="3" fontId="2" fillId="23" borderId="25" xfId="0" applyNumberFormat="1" applyFont="1" applyFill="1" applyBorder="1" applyAlignment="1" applyProtection="1">
      <alignment horizontal="center" vertical="center"/>
    </xf>
    <xf numFmtId="3" fontId="2" fillId="23" borderId="6" xfId="0" applyNumberFormat="1" applyFont="1" applyFill="1" applyBorder="1" applyAlignment="1" applyProtection="1">
      <alignment horizontal="center" vertical="center"/>
    </xf>
    <xf numFmtId="0" fontId="2" fillId="3" borderId="38" xfId="0" applyFont="1" applyFill="1" applyBorder="1" applyAlignment="1">
      <alignment horizontal="left" vertical="center" wrapText="1"/>
    </xf>
    <xf numFmtId="0" fontId="2" fillId="3" borderId="5" xfId="0" applyFont="1" applyFill="1" applyBorder="1" applyAlignment="1">
      <alignment horizontal="left" vertical="center" wrapText="1"/>
    </xf>
    <xf numFmtId="0" fontId="34" fillId="23" borderId="0" xfId="0" applyFont="1" applyFill="1" applyAlignment="1">
      <alignment horizontal="center" vertical="center" wrapText="1"/>
    </xf>
    <xf numFmtId="0" fontId="34" fillId="23" borderId="87" xfId="0" applyFont="1" applyFill="1" applyBorder="1" applyAlignment="1">
      <alignment horizontal="center" vertical="center" wrapText="1"/>
    </xf>
    <xf numFmtId="0" fontId="2" fillId="9" borderId="0" xfId="0" applyFont="1" applyFill="1" applyBorder="1" applyAlignment="1">
      <alignment horizontal="center" vertical="center" wrapText="1"/>
    </xf>
    <xf numFmtId="0" fontId="83" fillId="2" borderId="0" xfId="4" applyFont="1" applyFill="1" applyBorder="1" applyAlignment="1">
      <alignment horizontal="center"/>
    </xf>
    <xf numFmtId="0" fontId="83" fillId="11" borderId="0" xfId="4" applyFont="1" applyFill="1" applyBorder="1" applyAlignment="1">
      <alignment horizontal="center" vertical="center" wrapText="1"/>
    </xf>
    <xf numFmtId="0" fontId="32" fillId="53" borderId="0" xfId="0" applyFont="1" applyFill="1" applyAlignment="1">
      <alignment horizontal="left" vertical="center"/>
    </xf>
    <xf numFmtId="0" fontId="32" fillId="56" borderId="0" xfId="0" applyFont="1" applyFill="1" applyAlignment="1">
      <alignment horizontal="left" vertical="center"/>
    </xf>
    <xf numFmtId="0" fontId="2" fillId="3" borderId="7" xfId="0" applyFont="1" applyFill="1" applyBorder="1" applyAlignment="1">
      <alignment horizontal="left" vertical="center" wrapText="1"/>
    </xf>
    <xf numFmtId="0" fontId="26" fillId="60" borderId="38" xfId="0" applyFont="1" applyFill="1" applyBorder="1" applyAlignment="1">
      <alignment horizontal="left" vertical="center" wrapText="1"/>
    </xf>
    <xf numFmtId="0" fontId="26" fillId="60" borderId="5" xfId="0" applyFont="1" applyFill="1" applyBorder="1" applyAlignment="1">
      <alignment horizontal="left" vertical="center" wrapText="1"/>
    </xf>
    <xf numFmtId="0" fontId="30" fillId="3" borderId="38" xfId="0" applyFont="1" applyFill="1" applyBorder="1" applyAlignment="1">
      <alignment horizontal="left" vertical="center" wrapText="1"/>
    </xf>
    <xf numFmtId="0" fontId="30" fillId="3" borderId="7" xfId="0" applyFont="1" applyFill="1" applyBorder="1" applyAlignment="1">
      <alignment horizontal="left" vertical="center" wrapText="1"/>
    </xf>
    <xf numFmtId="0" fontId="30" fillId="3" borderId="5" xfId="0" applyFont="1" applyFill="1" applyBorder="1" applyAlignment="1">
      <alignment horizontal="left" vertical="center" wrapText="1"/>
    </xf>
    <xf numFmtId="0" fontId="84" fillId="59" borderId="0" xfId="0" applyFont="1" applyFill="1" applyBorder="1" applyAlignment="1">
      <alignment horizontal="left" vertical="center" wrapText="1"/>
    </xf>
    <xf numFmtId="0" fontId="2" fillId="3" borderId="88" xfId="0" applyFont="1" applyFill="1" applyBorder="1" applyAlignment="1">
      <alignment horizontal="left" vertical="center" wrapText="1"/>
    </xf>
    <xf numFmtId="0" fontId="2" fillId="3" borderId="89" xfId="0" applyFont="1" applyFill="1" applyBorder="1" applyAlignment="1">
      <alignment horizontal="left" vertical="center" wrapText="1"/>
    </xf>
    <xf numFmtId="0" fontId="2" fillId="0" borderId="38" xfId="0" applyFont="1" applyFill="1" applyBorder="1" applyAlignment="1">
      <alignment horizontal="left" vertical="center" wrapText="1"/>
    </xf>
    <xf numFmtId="0" fontId="2" fillId="0" borderId="7" xfId="0" applyFont="1" applyFill="1" applyBorder="1" applyAlignment="1">
      <alignment horizontal="left" vertical="center" wrapText="1"/>
    </xf>
    <xf numFmtId="0" fontId="2" fillId="0" borderId="5" xfId="0" applyFont="1" applyFill="1" applyBorder="1" applyAlignment="1">
      <alignment horizontal="left" vertical="center" wrapText="1"/>
    </xf>
    <xf numFmtId="0" fontId="94" fillId="63" borderId="31" xfId="4" applyFont="1" applyFill="1" applyBorder="1" applyAlignment="1">
      <alignment horizontal="left" vertical="center"/>
    </xf>
    <xf numFmtId="0" fontId="34" fillId="8" borderId="0" xfId="0" applyFont="1" applyFill="1" applyAlignment="1">
      <alignment horizontal="center" wrapText="1"/>
    </xf>
    <xf numFmtId="0" fontId="41" fillId="67" borderId="69" xfId="4" applyFont="1" applyFill="1" applyBorder="1" applyAlignment="1">
      <alignment horizontal="left" vertical="center"/>
    </xf>
    <xf numFmtId="0" fontId="41" fillId="67" borderId="39" xfId="4" applyFont="1" applyFill="1" applyBorder="1" applyAlignment="1">
      <alignment horizontal="left" vertical="center"/>
    </xf>
    <xf numFmtId="0" fontId="41" fillId="68" borderId="69" xfId="4" applyFont="1" applyFill="1" applyBorder="1" applyAlignment="1">
      <alignment horizontal="left" vertical="center"/>
    </xf>
    <xf numFmtId="0" fontId="41" fillId="68" borderId="39" xfId="4" applyFont="1" applyFill="1" applyBorder="1" applyAlignment="1">
      <alignment horizontal="left" vertical="center"/>
    </xf>
    <xf numFmtId="0" fontId="26" fillId="18" borderId="0" xfId="0" applyFont="1" applyFill="1" applyAlignment="1">
      <alignment horizontal="left" wrapText="1"/>
    </xf>
    <xf numFmtId="0" fontId="26" fillId="14" borderId="0" xfId="0" applyFont="1" applyFill="1" applyAlignment="1">
      <alignment horizontal="left" wrapText="1"/>
    </xf>
    <xf numFmtId="0" fontId="41" fillId="64" borderId="69" xfId="4" applyFont="1" applyFill="1" applyBorder="1" applyAlignment="1">
      <alignment horizontal="left" vertical="center"/>
    </xf>
    <xf numFmtId="0" fontId="41" fillId="64" borderId="39" xfId="4" applyFont="1" applyFill="1" applyBorder="1" applyAlignment="1">
      <alignment horizontal="left" vertical="center"/>
    </xf>
    <xf numFmtId="0" fontId="29" fillId="64" borderId="69" xfId="4" applyFont="1" applyFill="1" applyBorder="1" applyAlignment="1">
      <alignment horizontal="left" vertical="center"/>
    </xf>
    <xf numFmtId="0" fontId="29" fillId="64" borderId="39" xfId="4" applyFont="1" applyFill="1" applyBorder="1" applyAlignment="1">
      <alignment horizontal="left" vertical="center"/>
    </xf>
    <xf numFmtId="0" fontId="41" fillId="65" borderId="69" xfId="4" applyFont="1" applyFill="1" applyBorder="1" applyAlignment="1">
      <alignment horizontal="left" vertical="center"/>
    </xf>
    <xf numFmtId="0" fontId="41" fillId="65" borderId="39" xfId="4" applyFont="1" applyFill="1" applyBorder="1" applyAlignment="1">
      <alignment horizontal="left" vertical="center"/>
    </xf>
    <xf numFmtId="0" fontId="29" fillId="65" borderId="69" xfId="4" applyFont="1" applyFill="1" applyBorder="1" applyAlignment="1">
      <alignment horizontal="left" vertical="center"/>
    </xf>
    <xf numFmtId="0" fontId="29" fillId="65" borderId="39" xfId="4" applyFont="1" applyFill="1" applyBorder="1" applyAlignment="1">
      <alignment horizontal="left" vertical="center"/>
    </xf>
    <xf numFmtId="0" fontId="41" fillId="66" borderId="69" xfId="4" applyFont="1" applyFill="1" applyBorder="1" applyAlignment="1">
      <alignment horizontal="left" vertical="center"/>
    </xf>
    <xf numFmtId="0" fontId="41" fillId="66" borderId="39" xfId="4" applyFont="1" applyFill="1" applyBorder="1" applyAlignment="1">
      <alignment horizontal="left" vertical="center"/>
    </xf>
    <xf numFmtId="0" fontId="30" fillId="8" borderId="52" xfId="0" applyFont="1" applyFill="1" applyBorder="1" applyAlignment="1">
      <alignment horizontal="center" vertical="center" wrapText="1"/>
    </xf>
    <xf numFmtId="0" fontId="30" fillId="8" borderId="54" xfId="0" applyFont="1" applyFill="1" applyBorder="1" applyAlignment="1">
      <alignment horizontal="center" vertical="center" wrapText="1"/>
    </xf>
    <xf numFmtId="0" fontId="30" fillId="8" borderId="53" xfId="0" applyFont="1" applyFill="1" applyBorder="1" applyAlignment="1">
      <alignment horizontal="center" vertical="center" wrapText="1"/>
    </xf>
    <xf numFmtId="0" fontId="30" fillId="3" borderId="52" xfId="0" applyFont="1" applyFill="1" applyBorder="1" applyAlignment="1">
      <alignment horizontal="center" vertical="center" wrapText="1"/>
    </xf>
    <xf numFmtId="0" fontId="30" fillId="3" borderId="54" xfId="0" applyFont="1" applyFill="1" applyBorder="1" applyAlignment="1">
      <alignment horizontal="center" vertical="center" wrapText="1"/>
    </xf>
    <xf numFmtId="0" fontId="30" fillId="3" borderId="53" xfId="0" applyFont="1" applyFill="1" applyBorder="1" applyAlignment="1">
      <alignment horizontal="center" vertical="center" wrapText="1"/>
    </xf>
    <xf numFmtId="0" fontId="30" fillId="22" borderId="52" xfId="0" applyFont="1" applyFill="1" applyBorder="1" applyAlignment="1">
      <alignment horizontal="center" vertical="center" wrapText="1"/>
    </xf>
    <xf numFmtId="0" fontId="30" fillId="22" borderId="54" xfId="0" applyFont="1" applyFill="1" applyBorder="1" applyAlignment="1">
      <alignment horizontal="center" vertical="center" wrapText="1"/>
    </xf>
    <xf numFmtId="0" fontId="30" fillId="22" borderId="53" xfId="0" applyFont="1" applyFill="1" applyBorder="1" applyAlignment="1">
      <alignment horizontal="center" vertical="center" wrapText="1"/>
    </xf>
    <xf numFmtId="0" fontId="2" fillId="6" borderId="38" xfId="0" applyFont="1" applyFill="1" applyBorder="1" applyAlignment="1" applyProtection="1">
      <alignment horizontal="left"/>
      <protection locked="0"/>
    </xf>
    <xf numFmtId="0" fontId="2" fillId="6" borderId="5" xfId="0" applyFont="1" applyFill="1" applyBorder="1" applyAlignment="1" applyProtection="1">
      <alignment horizontal="left"/>
      <protection locked="0"/>
    </xf>
    <xf numFmtId="0" fontId="89" fillId="2" borderId="0" xfId="4" applyFont="1" applyFill="1" applyAlignment="1">
      <alignment horizontal="center" vertical="center"/>
    </xf>
    <xf numFmtId="0" fontId="30" fillId="23" borderId="52" xfId="0" applyFont="1" applyFill="1" applyBorder="1" applyAlignment="1">
      <alignment horizontal="center" vertical="center" wrapText="1"/>
    </xf>
    <xf numFmtId="0" fontId="30" fillId="23" borderId="54" xfId="0" applyFont="1" applyFill="1" applyBorder="1" applyAlignment="1">
      <alignment horizontal="center" vertical="center" wrapText="1"/>
    </xf>
    <xf numFmtId="0" fontId="30" fillId="23" borderId="53" xfId="0" applyFont="1" applyFill="1" applyBorder="1" applyAlignment="1">
      <alignment horizontal="center" vertical="center" wrapText="1"/>
    </xf>
    <xf numFmtId="0" fontId="27" fillId="19" borderId="56" xfId="4" applyFill="1" applyBorder="1" applyAlignment="1">
      <alignment horizontal="center" textRotation="90"/>
    </xf>
    <xf numFmtId="0" fontId="10" fillId="5" borderId="35" xfId="0" applyFont="1" applyFill="1" applyBorder="1" applyAlignment="1" applyProtection="1">
      <alignment horizontal="left"/>
      <protection locked="0"/>
    </xf>
    <xf numFmtId="0" fontId="10" fillId="5" borderId="32" xfId="0" applyFont="1" applyFill="1" applyBorder="1" applyAlignment="1" applyProtection="1">
      <alignment horizontal="left"/>
      <protection locked="0"/>
    </xf>
    <xf numFmtId="0" fontId="10" fillId="3" borderId="0" xfId="0" applyFont="1" applyFill="1" applyBorder="1" applyAlignment="1" applyProtection="1">
      <alignment horizontal="right"/>
    </xf>
    <xf numFmtId="0" fontId="10" fillId="3" borderId="36" xfId="0" applyFont="1" applyFill="1" applyBorder="1" applyAlignment="1" applyProtection="1">
      <alignment horizontal="left"/>
    </xf>
    <xf numFmtId="0" fontId="10" fillId="3" borderId="37" xfId="0" applyFont="1" applyFill="1" applyBorder="1" applyAlignment="1" applyProtection="1">
      <alignment horizontal="left"/>
    </xf>
    <xf numFmtId="0" fontId="2" fillId="15" borderId="26" xfId="0" applyFont="1" applyFill="1" applyBorder="1" applyAlignment="1">
      <alignment horizontal="center" vertical="center" wrapText="1"/>
    </xf>
    <xf numFmtId="0" fontId="2" fillId="15" borderId="27" xfId="0" applyFont="1" applyFill="1" applyBorder="1" applyAlignment="1">
      <alignment horizontal="center" vertical="center" wrapText="1"/>
    </xf>
    <xf numFmtId="0" fontId="2" fillId="15" borderId="12" xfId="0" applyFont="1" applyFill="1" applyBorder="1" applyAlignment="1">
      <alignment horizontal="center" vertical="center" wrapText="1"/>
    </xf>
    <xf numFmtId="0" fontId="2" fillId="15" borderId="0" xfId="0" applyFont="1" applyFill="1" applyBorder="1" applyAlignment="1">
      <alignment horizontal="center" vertical="center" wrapText="1"/>
    </xf>
    <xf numFmtId="0" fontId="2" fillId="15" borderId="14" xfId="0" applyFont="1" applyFill="1" applyBorder="1" applyAlignment="1">
      <alignment horizontal="center" vertical="center" wrapText="1"/>
    </xf>
    <xf numFmtId="0" fontId="2" fillId="15" borderId="15" xfId="0" applyFont="1" applyFill="1" applyBorder="1" applyAlignment="1">
      <alignment horizontal="center" vertical="center" wrapText="1"/>
    </xf>
    <xf numFmtId="0" fontId="2" fillId="3" borderId="0" xfId="0" applyFont="1" applyFill="1" applyAlignment="1">
      <alignment horizontal="left"/>
    </xf>
    <xf numFmtId="3" fontId="32" fillId="15" borderId="27" xfId="0" applyNumberFormat="1" applyFont="1" applyFill="1" applyBorder="1" applyAlignment="1">
      <alignment horizontal="center" vertical="center"/>
    </xf>
    <xf numFmtId="3" fontId="32" fillId="15" borderId="0" xfId="0" applyNumberFormat="1" applyFont="1" applyFill="1" applyBorder="1" applyAlignment="1">
      <alignment horizontal="center" vertical="center"/>
    </xf>
    <xf numFmtId="3" fontId="32" fillId="15" borderId="15" xfId="0" applyNumberFormat="1" applyFont="1" applyFill="1" applyBorder="1" applyAlignment="1">
      <alignment horizontal="center" vertical="center"/>
    </xf>
    <xf numFmtId="0" fontId="2" fillId="15" borderId="28" xfId="0" applyFont="1" applyFill="1" applyBorder="1" applyAlignment="1">
      <alignment horizontal="center" vertical="center" wrapText="1"/>
    </xf>
    <xf numFmtId="0" fontId="2" fillId="15" borderId="13" xfId="0" applyFont="1" applyFill="1" applyBorder="1" applyAlignment="1">
      <alignment horizontal="center" vertical="center" wrapText="1"/>
    </xf>
    <xf numFmtId="0" fontId="2" fillId="15" borderId="16" xfId="0" applyFont="1" applyFill="1" applyBorder="1" applyAlignment="1">
      <alignment horizontal="center" vertical="center" wrapText="1"/>
    </xf>
    <xf numFmtId="0" fontId="2" fillId="16" borderId="0" xfId="0" quotePrefix="1" applyFont="1" applyFill="1" applyBorder="1" applyAlignment="1">
      <alignment horizontal="center" vertical="center" wrapText="1"/>
    </xf>
    <xf numFmtId="9" fontId="33" fillId="0" borderId="29" xfId="1" applyFont="1" applyBorder="1" applyAlignment="1">
      <alignment horizontal="center" vertical="center" wrapText="1"/>
    </xf>
    <xf numFmtId="9" fontId="33" fillId="0" borderId="33" xfId="1" applyFont="1" applyBorder="1" applyAlignment="1">
      <alignment horizontal="center" vertical="center" wrapText="1"/>
    </xf>
    <xf numFmtId="9" fontId="33" fillId="0" borderId="30" xfId="1" applyFont="1" applyBorder="1" applyAlignment="1">
      <alignment horizontal="center" vertical="center" wrapText="1"/>
    </xf>
    <xf numFmtId="0" fontId="10" fillId="3" borderId="4" xfId="0" applyFont="1" applyFill="1" applyBorder="1" applyAlignment="1" applyProtection="1">
      <alignment horizontal="left"/>
    </xf>
    <xf numFmtId="0" fontId="10" fillId="3" borderId="5" xfId="0" applyFont="1" applyFill="1" applyBorder="1" applyAlignment="1" applyProtection="1">
      <alignment horizontal="left"/>
    </xf>
    <xf numFmtId="0" fontId="83" fillId="3" borderId="0" xfId="4" applyFont="1" applyFill="1" applyAlignment="1">
      <alignment horizontal="center" vertical="center" wrapText="1"/>
    </xf>
    <xf numFmtId="0" fontId="4" fillId="3" borderId="7" xfId="0" applyFont="1" applyFill="1" applyBorder="1" applyAlignment="1" applyProtection="1">
      <alignment horizontal="left"/>
    </xf>
    <xf numFmtId="0" fontId="4" fillId="3" borderId="5" xfId="0" applyFont="1" applyFill="1" applyBorder="1" applyAlignment="1" applyProtection="1">
      <alignment horizontal="left"/>
    </xf>
    <xf numFmtId="0" fontId="10" fillId="3" borderId="7" xfId="0" applyFont="1" applyFill="1" applyBorder="1" applyAlignment="1" applyProtection="1">
      <alignment horizontal="left"/>
    </xf>
    <xf numFmtId="0" fontId="6" fillId="8" borderId="0" xfId="3" applyFont="1" applyFill="1" applyAlignment="1">
      <alignment horizontal="center" vertical="center"/>
    </xf>
    <xf numFmtId="0" fontId="4" fillId="15" borderId="0" xfId="2" applyNumberFormat="1" applyFont="1" applyFill="1" applyBorder="1" applyAlignment="1" applyProtection="1">
      <alignment horizontal="center"/>
    </xf>
    <xf numFmtId="0" fontId="4" fillId="15" borderId="13" xfId="2" applyNumberFormat="1" applyFont="1" applyFill="1" applyBorder="1" applyAlignment="1" applyProtection="1">
      <alignment horizontal="center"/>
    </xf>
    <xf numFmtId="0" fontId="44" fillId="15" borderId="0" xfId="5" applyNumberFormat="1" applyFont="1" applyFill="1" applyBorder="1" applyAlignment="1" applyProtection="1">
      <alignment horizontal="center"/>
    </xf>
    <xf numFmtId="0" fontId="44" fillId="15" borderId="13" xfId="5" applyNumberFormat="1" applyFont="1" applyFill="1" applyBorder="1" applyAlignment="1" applyProtection="1">
      <alignment horizontal="center"/>
    </xf>
    <xf numFmtId="0" fontId="45" fillId="3" borderId="0" xfId="5" applyNumberFormat="1" applyFont="1" applyFill="1" applyBorder="1" applyAlignment="1" applyProtection="1">
      <alignment horizontal="center"/>
    </xf>
    <xf numFmtId="0" fontId="44" fillId="2" borderId="0" xfId="5" applyNumberFormat="1" applyFont="1" applyFill="1" applyBorder="1" applyAlignment="1" applyProtection="1">
      <alignment horizontal="center" vertical="center"/>
    </xf>
    <xf numFmtId="0" fontId="41" fillId="15" borderId="15" xfId="2" applyNumberFormat="1" applyFont="1" applyFill="1" applyBorder="1" applyAlignment="1" applyProtection="1">
      <alignment horizontal="center"/>
    </xf>
    <xf numFmtId="0" fontId="41" fillId="15" borderId="16" xfId="2" applyNumberFormat="1" applyFont="1" applyFill="1" applyBorder="1" applyAlignment="1" applyProtection="1">
      <alignment horizontal="center"/>
    </xf>
    <xf numFmtId="0" fontId="44" fillId="15" borderId="15" xfId="5" applyNumberFormat="1" applyFont="1" applyFill="1" applyBorder="1" applyAlignment="1" applyProtection="1">
      <alignment horizontal="center"/>
    </xf>
    <xf numFmtId="0" fontId="44" fillId="15" borderId="16" xfId="5" applyNumberFormat="1" applyFont="1" applyFill="1" applyBorder="1" applyAlignment="1" applyProtection="1">
      <alignment horizontal="center"/>
    </xf>
    <xf numFmtId="0" fontId="46" fillId="21" borderId="41" xfId="0" applyFont="1" applyFill="1" applyBorder="1" applyAlignment="1" applyProtection="1">
      <alignment horizontal="center" vertical="center" wrapText="1"/>
    </xf>
    <xf numFmtId="0" fontId="46" fillId="21" borderId="42" xfId="0" applyFont="1" applyFill="1" applyBorder="1" applyAlignment="1" applyProtection="1">
      <alignment horizontal="center" vertical="center" wrapText="1"/>
    </xf>
    <xf numFmtId="0" fontId="46" fillId="21" borderId="43" xfId="0" applyFont="1" applyFill="1" applyBorder="1" applyAlignment="1" applyProtection="1">
      <alignment horizontal="center" vertical="center" wrapText="1"/>
    </xf>
    <xf numFmtId="0" fontId="46" fillId="21" borderId="44" xfId="0" applyFont="1" applyFill="1" applyBorder="1" applyAlignment="1" applyProtection="1">
      <alignment horizontal="center" vertical="center" wrapText="1"/>
    </xf>
    <xf numFmtId="0" fontId="46" fillId="21" borderId="45" xfId="0" applyFont="1" applyFill="1" applyBorder="1" applyAlignment="1" applyProtection="1">
      <alignment horizontal="center" vertical="center" wrapText="1"/>
    </xf>
    <xf numFmtId="0" fontId="46" fillId="21" borderId="46" xfId="0" applyFont="1" applyFill="1" applyBorder="1" applyAlignment="1" applyProtection="1">
      <alignment horizontal="center" vertical="center" wrapText="1"/>
    </xf>
    <xf numFmtId="0" fontId="44" fillId="2" borderId="0" xfId="5" applyNumberFormat="1" applyFont="1" applyFill="1" applyBorder="1" applyAlignment="1" applyProtection="1">
      <alignment horizontal="center"/>
    </xf>
    <xf numFmtId="0" fontId="46" fillId="21" borderId="48" xfId="0" applyFont="1" applyFill="1" applyBorder="1" applyAlignment="1" applyProtection="1">
      <alignment horizontal="center" vertical="center" wrapText="1"/>
    </xf>
    <xf numFmtId="0" fontId="46" fillId="21" borderId="49" xfId="0" applyFont="1" applyFill="1" applyBorder="1" applyAlignment="1" applyProtection="1">
      <alignment horizontal="center" vertical="center" wrapText="1"/>
    </xf>
    <xf numFmtId="0" fontId="46" fillId="21" borderId="50" xfId="0" applyFont="1" applyFill="1" applyBorder="1" applyAlignment="1" applyProtection="1">
      <alignment horizontal="center" vertical="center" wrapText="1"/>
    </xf>
  </cellXfs>
  <cellStyles count="49">
    <cellStyle name="20 % - Aksentti1 2" xfId="6" xr:uid="{00000000-0005-0000-0000-000000000000}"/>
    <cellStyle name="20 % - Aksentti2 2" xfId="7" xr:uid="{00000000-0005-0000-0000-000001000000}"/>
    <cellStyle name="20 % - Aksentti3 2" xfId="8" xr:uid="{00000000-0005-0000-0000-000002000000}"/>
    <cellStyle name="20 % - Aksentti4 2" xfId="9" xr:uid="{00000000-0005-0000-0000-000003000000}"/>
    <cellStyle name="20 % - Aksentti5 2" xfId="10" xr:uid="{00000000-0005-0000-0000-000004000000}"/>
    <cellStyle name="20 % - Aksentti6 2" xfId="11" xr:uid="{00000000-0005-0000-0000-000005000000}"/>
    <cellStyle name="40 % - Aksentti1 2" xfId="12" xr:uid="{00000000-0005-0000-0000-000006000000}"/>
    <cellStyle name="40 % - Aksentti2 2" xfId="13" xr:uid="{00000000-0005-0000-0000-000007000000}"/>
    <cellStyle name="40 % - Aksentti3 2" xfId="14" xr:uid="{00000000-0005-0000-0000-000008000000}"/>
    <cellStyle name="40 % - Aksentti4 2" xfId="15" xr:uid="{00000000-0005-0000-0000-000009000000}"/>
    <cellStyle name="40 % - Aksentti5 2" xfId="16" xr:uid="{00000000-0005-0000-0000-00000A000000}"/>
    <cellStyle name="40 % - Aksentti6 2" xfId="17" xr:uid="{00000000-0005-0000-0000-00000B000000}"/>
    <cellStyle name="60 % - Aksentti1 2" xfId="18" xr:uid="{00000000-0005-0000-0000-00000C000000}"/>
    <cellStyle name="60 % - Aksentti2 2" xfId="19" xr:uid="{00000000-0005-0000-0000-00000D000000}"/>
    <cellStyle name="60 % - Aksentti3 2" xfId="20" xr:uid="{00000000-0005-0000-0000-00000E000000}"/>
    <cellStyle name="60 % - Aksentti4 2" xfId="21" xr:uid="{00000000-0005-0000-0000-00000F000000}"/>
    <cellStyle name="60 % - Aksentti5 2" xfId="22" xr:uid="{00000000-0005-0000-0000-000010000000}"/>
    <cellStyle name="60 % - Aksentti6 2" xfId="23" xr:uid="{00000000-0005-0000-0000-000011000000}"/>
    <cellStyle name="Aksentti1 2" xfId="24" xr:uid="{00000000-0005-0000-0000-000012000000}"/>
    <cellStyle name="Aksentti2 2" xfId="25" xr:uid="{00000000-0005-0000-0000-000013000000}"/>
    <cellStyle name="Aksentti3 2" xfId="26" xr:uid="{00000000-0005-0000-0000-000014000000}"/>
    <cellStyle name="Aksentti4 2" xfId="27" xr:uid="{00000000-0005-0000-0000-000015000000}"/>
    <cellStyle name="Aksentti5 2" xfId="28" xr:uid="{00000000-0005-0000-0000-000016000000}"/>
    <cellStyle name="Aksentti6 2" xfId="29" xr:uid="{00000000-0005-0000-0000-000017000000}"/>
    <cellStyle name="Huomautus 2" xfId="30" xr:uid="{00000000-0005-0000-0000-000018000000}"/>
    <cellStyle name="Huono 2" xfId="31" xr:uid="{00000000-0005-0000-0000-000019000000}"/>
    <cellStyle name="Hyperlinkki" xfId="4" builtinId="8"/>
    <cellStyle name="Hyperlinkki 2" xfId="5" xr:uid="{00000000-0005-0000-0000-00001B000000}"/>
    <cellStyle name="Hyvä 2" xfId="32" xr:uid="{00000000-0005-0000-0000-00001C000000}"/>
    <cellStyle name="Laskenta 2" xfId="33" xr:uid="{00000000-0005-0000-0000-00001D000000}"/>
    <cellStyle name="Linkitetty solu 2" xfId="34" xr:uid="{00000000-0005-0000-0000-00001E000000}"/>
    <cellStyle name="Neutraali 2" xfId="35" xr:uid="{00000000-0005-0000-0000-00001F000000}"/>
    <cellStyle name="Normaali" xfId="0" builtinId="0"/>
    <cellStyle name="Normaali 2" xfId="3" xr:uid="{00000000-0005-0000-0000-000021000000}"/>
    <cellStyle name="Normaali 2 2" xfId="2" xr:uid="{00000000-0005-0000-0000-000022000000}"/>
    <cellStyle name="Normaali 3" xfId="48" xr:uid="{00000000-0005-0000-0000-000023000000}"/>
    <cellStyle name="Otsikko 1 2" xfId="37" xr:uid="{00000000-0005-0000-0000-000024000000}"/>
    <cellStyle name="Otsikko 2 2" xfId="38" xr:uid="{00000000-0005-0000-0000-000025000000}"/>
    <cellStyle name="Otsikko 3 2" xfId="39" xr:uid="{00000000-0005-0000-0000-000026000000}"/>
    <cellStyle name="Otsikko 4 2" xfId="40" xr:uid="{00000000-0005-0000-0000-000027000000}"/>
    <cellStyle name="Otsikko 5" xfId="36" xr:uid="{00000000-0005-0000-0000-000028000000}"/>
    <cellStyle name="Prosentti 2" xfId="41" xr:uid="{00000000-0005-0000-0000-00002A000000}"/>
    <cellStyle name="Prosenttia" xfId="1" builtinId="5"/>
    <cellStyle name="Selittävä teksti 2" xfId="42" xr:uid="{00000000-0005-0000-0000-00002B000000}"/>
    <cellStyle name="Summa 2" xfId="43" xr:uid="{00000000-0005-0000-0000-00002C000000}"/>
    <cellStyle name="Syöttö 2" xfId="44" xr:uid="{00000000-0005-0000-0000-00002D000000}"/>
    <cellStyle name="Tarkistussolu 2" xfId="45" xr:uid="{00000000-0005-0000-0000-00002E000000}"/>
    <cellStyle name="Tulostus 2" xfId="46" xr:uid="{00000000-0005-0000-0000-00002F000000}"/>
    <cellStyle name="Varoitusteksti 2" xfId="47" xr:uid="{00000000-0005-0000-0000-000030000000}"/>
  </cellStyles>
  <dxfs count="103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98F20F"/>
      <color rgb="FFCCFFCC"/>
      <color rgb="FFFFFF99"/>
      <color rgb="FF3E95C9"/>
      <color rgb="FFFFCCCC"/>
      <color rgb="FFFF99CC"/>
      <color rgb="FFFF66CC"/>
      <color rgb="FFFF99FF"/>
      <color rgb="FFFFCCFF"/>
      <color rgb="FF92D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 Id="rId30"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3" Type="http://schemas.openxmlformats.org/officeDocument/2006/relationships/image" Target="../media/image6.jpg"/><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3" Type="http://schemas.openxmlformats.org/officeDocument/2006/relationships/image" Target="../media/image8.jpg"/><Relationship Id="rId2" Type="http://schemas.microsoft.com/office/2011/relationships/chartColorStyle" Target="colors12.xml"/><Relationship Id="rId1" Type="http://schemas.microsoft.com/office/2011/relationships/chartStyle" Target="style12.xml"/><Relationship Id="rId4" Type="http://schemas.openxmlformats.org/officeDocument/2006/relationships/image" Target="../media/image9.jpg"/></Relationships>
</file>

<file path=xl/charts/_rels/chart13.xml.rels><?xml version="1.0" encoding="UTF-8" standalone="yes"?>
<Relationships xmlns="http://schemas.openxmlformats.org/package/2006/relationships"><Relationship Id="rId3" Type="http://schemas.openxmlformats.org/officeDocument/2006/relationships/image" Target="../media/image10.jpg"/><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3" Type="http://schemas.openxmlformats.org/officeDocument/2006/relationships/image" Target="../media/image8.jpg"/><Relationship Id="rId2" Type="http://schemas.microsoft.com/office/2011/relationships/chartColorStyle" Target="colors14.xml"/><Relationship Id="rId1" Type="http://schemas.microsoft.com/office/2011/relationships/chartStyle" Target="style14.xml"/><Relationship Id="rId4" Type="http://schemas.openxmlformats.org/officeDocument/2006/relationships/image" Target="../media/image9.jpg"/></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3" Type="http://schemas.openxmlformats.org/officeDocument/2006/relationships/image" Target="../media/image6.jpg"/><Relationship Id="rId2" Type="http://schemas.microsoft.com/office/2011/relationships/chartColorStyle" Target="colors16.xml"/><Relationship Id="rId1" Type="http://schemas.microsoft.com/office/2011/relationships/chartStyle" Target="style16.xml"/><Relationship Id="rId5" Type="http://schemas.openxmlformats.org/officeDocument/2006/relationships/image" Target="../media/image16.jpeg"/><Relationship Id="rId4" Type="http://schemas.openxmlformats.org/officeDocument/2006/relationships/image" Target="../media/image15.jpg"/></Relationships>
</file>

<file path=xl/charts/_rels/chart17.xml.rels><?xml version="1.0" encoding="UTF-8" standalone="yes"?>
<Relationships xmlns="http://schemas.openxmlformats.org/package/2006/relationships"><Relationship Id="rId3" Type="http://schemas.openxmlformats.org/officeDocument/2006/relationships/image" Target="../media/image6.jpg"/><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3" Type="http://schemas.openxmlformats.org/officeDocument/2006/relationships/image" Target="../media/image6.jpg"/><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3" Type="http://schemas.openxmlformats.org/officeDocument/2006/relationships/image" Target="../media/image17.jpeg"/><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3" Type="http://schemas.openxmlformats.org/officeDocument/2006/relationships/image" Target="../media/image7.jpg"/><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3" Type="http://schemas.openxmlformats.org/officeDocument/2006/relationships/image" Target="../media/image6.jpg"/><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3" Type="http://schemas.openxmlformats.org/officeDocument/2006/relationships/image" Target="../media/image17.jpeg"/><Relationship Id="rId2" Type="http://schemas.microsoft.com/office/2011/relationships/chartColorStyle" Target="colors23.xml"/><Relationship Id="rId1" Type="http://schemas.microsoft.com/office/2011/relationships/chartStyle" Target="style23.xml"/></Relationships>
</file>

<file path=xl/charts/_rels/chart24.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25.xml.rels><?xml version="1.0" encoding="UTF-8" standalone="yes"?>
<Relationships xmlns="http://schemas.openxmlformats.org/package/2006/relationships"><Relationship Id="rId3" Type="http://schemas.openxmlformats.org/officeDocument/2006/relationships/image" Target="../media/image6.jpg"/><Relationship Id="rId2" Type="http://schemas.microsoft.com/office/2011/relationships/chartColorStyle" Target="colors25.xml"/><Relationship Id="rId1" Type="http://schemas.microsoft.com/office/2011/relationships/chartStyle" Target="style25.xml"/></Relationships>
</file>

<file path=xl/charts/_rels/chart26.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27.xml.rels><?xml version="1.0" encoding="UTF-8" standalone="yes"?>
<Relationships xmlns="http://schemas.openxmlformats.org/package/2006/relationships"><Relationship Id="rId3" Type="http://schemas.openxmlformats.org/officeDocument/2006/relationships/image" Target="../media/image17.jpeg"/><Relationship Id="rId2" Type="http://schemas.microsoft.com/office/2011/relationships/chartColorStyle" Target="colors27.xml"/><Relationship Id="rId1" Type="http://schemas.microsoft.com/office/2011/relationships/chartStyle" Target="style27.xml"/></Relationships>
</file>

<file path=xl/charts/_rels/chart28.xml.rels><?xml version="1.0" encoding="UTF-8" standalone="yes"?>
<Relationships xmlns="http://schemas.openxmlformats.org/package/2006/relationships"><Relationship Id="rId2" Type="http://schemas.microsoft.com/office/2011/relationships/chartColorStyle" Target="colors28.xml"/><Relationship Id="rId1" Type="http://schemas.microsoft.com/office/2011/relationships/chartStyle" Target="style28.xml"/></Relationships>
</file>

<file path=xl/charts/_rels/chart29.xml.rels><?xml version="1.0" encoding="UTF-8" standalone="yes"?>
<Relationships xmlns="http://schemas.openxmlformats.org/package/2006/relationships"><Relationship Id="rId3" Type="http://schemas.openxmlformats.org/officeDocument/2006/relationships/image" Target="../media/image6.jpg"/><Relationship Id="rId2" Type="http://schemas.microsoft.com/office/2011/relationships/chartColorStyle" Target="colors29.xml"/><Relationship Id="rId1" Type="http://schemas.microsoft.com/office/2011/relationships/chartStyle" Target="style29.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30.xml.rels><?xml version="1.0" encoding="UTF-8" standalone="yes"?>
<Relationships xmlns="http://schemas.openxmlformats.org/package/2006/relationships"><Relationship Id="rId2" Type="http://schemas.microsoft.com/office/2011/relationships/chartColorStyle" Target="colors30.xml"/><Relationship Id="rId1" Type="http://schemas.microsoft.com/office/2011/relationships/chartStyle" Target="style30.xml"/></Relationships>
</file>

<file path=xl/charts/_rels/chart31.xml.rels><?xml version="1.0" encoding="UTF-8" standalone="yes"?>
<Relationships xmlns="http://schemas.openxmlformats.org/package/2006/relationships"><Relationship Id="rId3" Type="http://schemas.openxmlformats.org/officeDocument/2006/relationships/image" Target="../media/image17.jpeg"/><Relationship Id="rId2" Type="http://schemas.microsoft.com/office/2011/relationships/chartColorStyle" Target="colors31.xml"/><Relationship Id="rId1" Type="http://schemas.microsoft.com/office/2011/relationships/chartStyle" Target="style31.xml"/></Relationships>
</file>

<file path=xl/charts/_rels/chart32.xml.rels><?xml version="1.0" encoding="UTF-8" standalone="yes"?>
<Relationships xmlns="http://schemas.openxmlformats.org/package/2006/relationships"><Relationship Id="rId2" Type="http://schemas.microsoft.com/office/2011/relationships/chartColorStyle" Target="colors32.xml"/><Relationship Id="rId1" Type="http://schemas.microsoft.com/office/2011/relationships/chartStyle" Target="style32.xml"/></Relationships>
</file>

<file path=xl/charts/_rels/chart33.xml.rels><?xml version="1.0" encoding="UTF-8" standalone="yes"?>
<Relationships xmlns="http://schemas.openxmlformats.org/package/2006/relationships"><Relationship Id="rId3" Type="http://schemas.openxmlformats.org/officeDocument/2006/relationships/image" Target="../media/image6.jpg"/><Relationship Id="rId2" Type="http://schemas.microsoft.com/office/2011/relationships/chartColorStyle" Target="colors33.xml"/><Relationship Id="rId1" Type="http://schemas.microsoft.com/office/2011/relationships/chartStyle" Target="style33.xml"/></Relationships>
</file>

<file path=xl/charts/_rels/chart34.xml.rels><?xml version="1.0" encoding="UTF-8" standalone="yes"?>
<Relationships xmlns="http://schemas.openxmlformats.org/package/2006/relationships"><Relationship Id="rId2" Type="http://schemas.microsoft.com/office/2011/relationships/chartColorStyle" Target="colors34.xml"/><Relationship Id="rId1" Type="http://schemas.microsoft.com/office/2011/relationships/chartStyle" Target="style34.xml"/></Relationships>
</file>

<file path=xl/charts/_rels/chart35.xml.rels><?xml version="1.0" encoding="UTF-8" standalone="yes"?>
<Relationships xmlns="http://schemas.openxmlformats.org/package/2006/relationships"><Relationship Id="rId3" Type="http://schemas.openxmlformats.org/officeDocument/2006/relationships/image" Target="../media/image17.jpeg"/><Relationship Id="rId2" Type="http://schemas.microsoft.com/office/2011/relationships/chartColorStyle" Target="colors35.xml"/><Relationship Id="rId1" Type="http://schemas.microsoft.com/office/2011/relationships/chartStyle" Target="style35.xml"/></Relationships>
</file>

<file path=xl/charts/_rels/chart36.xml.rels><?xml version="1.0" encoding="UTF-8" standalone="yes"?>
<Relationships xmlns="http://schemas.openxmlformats.org/package/2006/relationships"><Relationship Id="rId2" Type="http://schemas.microsoft.com/office/2011/relationships/chartColorStyle" Target="colors36.xml"/><Relationship Id="rId1" Type="http://schemas.microsoft.com/office/2011/relationships/chartStyle" Target="style36.xml"/></Relationships>
</file>

<file path=xl/charts/_rels/chart37.xml.rels><?xml version="1.0" encoding="UTF-8" standalone="yes"?>
<Relationships xmlns="http://schemas.openxmlformats.org/package/2006/relationships"><Relationship Id="rId3" Type="http://schemas.openxmlformats.org/officeDocument/2006/relationships/image" Target="../media/image6.jpg"/><Relationship Id="rId2" Type="http://schemas.microsoft.com/office/2011/relationships/chartColorStyle" Target="colors37.xml"/><Relationship Id="rId1" Type="http://schemas.microsoft.com/office/2011/relationships/chartStyle" Target="style37.xml"/></Relationships>
</file>

<file path=xl/charts/_rels/chart38.xml.rels><?xml version="1.0" encoding="UTF-8" standalone="yes"?>
<Relationships xmlns="http://schemas.openxmlformats.org/package/2006/relationships"><Relationship Id="rId2" Type="http://schemas.microsoft.com/office/2011/relationships/chartColorStyle" Target="colors38.xml"/><Relationship Id="rId1" Type="http://schemas.microsoft.com/office/2011/relationships/chartStyle" Target="style38.xml"/></Relationships>
</file>

<file path=xl/charts/_rels/chart39.xml.rels><?xml version="1.0" encoding="UTF-8" standalone="yes"?>
<Relationships xmlns="http://schemas.openxmlformats.org/package/2006/relationships"><Relationship Id="rId2" Type="http://schemas.microsoft.com/office/2011/relationships/chartColorStyle" Target="colors39.xml"/><Relationship Id="rId1" Type="http://schemas.microsoft.com/office/2011/relationships/chartStyle" Target="style39.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40.xml.rels><?xml version="1.0" encoding="UTF-8" standalone="yes"?>
<Relationships xmlns="http://schemas.openxmlformats.org/package/2006/relationships"><Relationship Id="rId2" Type="http://schemas.microsoft.com/office/2011/relationships/chartColorStyle" Target="colors40.xml"/><Relationship Id="rId1" Type="http://schemas.microsoft.com/office/2011/relationships/chartStyle" Target="style40.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r>
              <a:rPr lang="fi-FI" sz="1600" b="0" i="0" baseline="0">
                <a:effectLst/>
              </a:rPr>
              <a:t>Säilörehun tuotantokustannusvertailu, snt/kg</a:t>
            </a:r>
            <a:endParaRPr lang="fi-FI" sz="1600">
              <a:effectLst/>
            </a:endParaRPr>
          </a:p>
        </c:rich>
      </c:tx>
      <c:overlay val="0"/>
      <c:spPr>
        <a:noFill/>
        <a:ln>
          <a:noFill/>
        </a:ln>
        <a:effectLst/>
      </c:spPr>
      <c:txPr>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endParaRPr lang="fi-FI"/>
        </a:p>
      </c:txPr>
    </c:title>
    <c:autoTitleDeleted val="0"/>
    <c:view3D>
      <c:rotX val="15"/>
      <c:rotY val="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9.2196146714537394E-2"/>
          <c:y val="0.13828952144271359"/>
          <c:w val="0.8791019615698723"/>
          <c:h val="0.7078797858405117"/>
        </c:manualLayout>
      </c:layout>
      <c:bar3DChart>
        <c:barDir val="col"/>
        <c:grouping val="stacked"/>
        <c:varyColors val="0"/>
        <c:ser>
          <c:idx val="0"/>
          <c:order val="0"/>
          <c:tx>
            <c:strRef>
              <c:f>'Säilörehun tuotantokustannus'!$T$43</c:f>
              <c:strCache>
                <c:ptCount val="1"/>
                <c:pt idx="0">
                  <c:v>Muuttuvat kustannukset</c:v>
                </c:pt>
              </c:strCache>
            </c:strRef>
          </c:tx>
          <c:spPr>
            <a:solidFill>
              <a:schemeClr val="accent1"/>
            </a:solidFill>
            <a:ln>
              <a:noFill/>
            </a:ln>
            <a:effectLst/>
            <a:sp3d/>
          </c:spPr>
          <c:invertIfNegative val="0"/>
          <c:dLbls>
            <c:dLbl>
              <c:idx val="2"/>
              <c:delete val="1"/>
              <c:extLst>
                <c:ext xmlns:c15="http://schemas.microsoft.com/office/drawing/2012/chart" uri="{CE6537A1-D6FC-4f65-9D91-7224C49458BB}"/>
                <c:ext xmlns:c16="http://schemas.microsoft.com/office/drawing/2014/chart" uri="{C3380CC4-5D6E-409C-BE32-E72D297353CC}">
                  <c16:uniqueId val="{00000000-AB35-4660-A900-27F57DC240C4}"/>
                </c:ext>
              </c:extLst>
            </c:dLbl>
            <c:dLbl>
              <c:idx val="5"/>
              <c:delete val="1"/>
              <c:extLst>
                <c:ext xmlns:c15="http://schemas.microsoft.com/office/drawing/2012/chart" uri="{CE6537A1-D6FC-4f65-9D91-7224C49458BB}"/>
                <c:ext xmlns:c16="http://schemas.microsoft.com/office/drawing/2014/chart" uri="{C3380CC4-5D6E-409C-BE32-E72D297353CC}">
                  <c16:uniqueId val="{00000001-AB35-4660-A900-27F57DC240C4}"/>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i-FI"/>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'Säilörehun tuotantokustannus'!$U$42:$AB$42</c:f>
              <c:strCache>
                <c:ptCount val="8"/>
                <c:pt idx="0">
                  <c:v>Oma tuot.kust.</c:v>
                </c:pt>
                <c:pt idx="1">
                  <c:v>(TK- tuet)</c:v>
                </c:pt>
                <c:pt idx="3">
                  <c:v>Hyvä</c:v>
                </c:pt>
                <c:pt idx="4">
                  <c:v>(TK- tuet)</c:v>
                </c:pt>
                <c:pt idx="6">
                  <c:v>Erinomainen</c:v>
                </c:pt>
                <c:pt idx="7">
                  <c:v>(TK- tuet)</c:v>
                </c:pt>
              </c:strCache>
            </c:strRef>
          </c:cat>
          <c:val>
            <c:numRef>
              <c:f>'Säilörehun tuotantokustannus'!$U$43:$AB$43</c:f>
              <c:numCache>
                <c:formatCode>General</c:formatCode>
                <c:ptCount val="8"/>
                <c:pt idx="0" formatCode="0.00">
                  <c:v>6.6674929722013738</c:v>
                </c:pt>
                <c:pt idx="2" formatCode="0%">
                  <c:v>0</c:v>
                </c:pt>
                <c:pt idx="3" formatCode="0.00">
                  <c:v>6.2423767455115415</c:v>
                </c:pt>
                <c:pt idx="5" formatCode="0%">
                  <c:v>0</c:v>
                </c:pt>
                <c:pt idx="6" formatCode="0.00">
                  <c:v>6.7280570124320116</c:v>
                </c:pt>
              </c:numCache>
            </c:numRef>
          </c:val>
          <c:extLst>
            <c:ext xmlns:c16="http://schemas.microsoft.com/office/drawing/2014/chart" uri="{C3380CC4-5D6E-409C-BE32-E72D297353CC}">
              <c16:uniqueId val="{00000002-AB35-4660-A900-27F57DC240C4}"/>
            </c:ext>
          </c:extLst>
        </c:ser>
        <c:ser>
          <c:idx val="1"/>
          <c:order val="1"/>
          <c:tx>
            <c:strRef>
              <c:f>'Säilörehun tuotantokustannus'!$T$44</c:f>
              <c:strCache>
                <c:ptCount val="1"/>
                <c:pt idx="0">
                  <c:v>Työkustannus</c:v>
                </c:pt>
              </c:strCache>
            </c:strRef>
          </c:tx>
          <c:spPr>
            <a:solidFill>
              <a:schemeClr val="accent2"/>
            </a:solidFill>
            <a:ln>
              <a:noFill/>
            </a:ln>
            <a:effectLst/>
            <a:sp3d/>
          </c:spPr>
          <c:invertIfNegative val="0"/>
          <c:dLbls>
            <c:dLbl>
              <c:idx val="2"/>
              <c:delete val="1"/>
              <c:extLst>
                <c:ext xmlns:c15="http://schemas.microsoft.com/office/drawing/2012/chart" uri="{CE6537A1-D6FC-4f65-9D91-7224C49458BB}"/>
                <c:ext xmlns:c16="http://schemas.microsoft.com/office/drawing/2014/chart" uri="{C3380CC4-5D6E-409C-BE32-E72D297353CC}">
                  <c16:uniqueId val="{00000003-AB35-4660-A900-27F57DC240C4}"/>
                </c:ext>
              </c:extLst>
            </c:dLbl>
            <c:dLbl>
              <c:idx val="5"/>
              <c:delete val="1"/>
              <c:extLst>
                <c:ext xmlns:c15="http://schemas.microsoft.com/office/drawing/2012/chart" uri="{CE6537A1-D6FC-4f65-9D91-7224C49458BB}"/>
                <c:ext xmlns:c16="http://schemas.microsoft.com/office/drawing/2014/chart" uri="{C3380CC4-5D6E-409C-BE32-E72D297353CC}">
                  <c16:uniqueId val="{00000004-AB35-4660-A900-27F57DC240C4}"/>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i-FI"/>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'Säilörehun tuotantokustannus'!$U$42:$AB$42</c:f>
              <c:strCache>
                <c:ptCount val="8"/>
                <c:pt idx="0">
                  <c:v>Oma tuot.kust.</c:v>
                </c:pt>
                <c:pt idx="1">
                  <c:v>(TK- tuet)</c:v>
                </c:pt>
                <c:pt idx="3">
                  <c:v>Hyvä</c:v>
                </c:pt>
                <c:pt idx="4">
                  <c:v>(TK- tuet)</c:v>
                </c:pt>
                <c:pt idx="6">
                  <c:v>Erinomainen</c:v>
                </c:pt>
                <c:pt idx="7">
                  <c:v>(TK- tuet)</c:v>
                </c:pt>
              </c:strCache>
            </c:strRef>
          </c:cat>
          <c:val>
            <c:numRef>
              <c:f>'Säilörehun tuotantokustannus'!$U$44:$AB$44</c:f>
              <c:numCache>
                <c:formatCode>General</c:formatCode>
                <c:ptCount val="8"/>
                <c:pt idx="0" formatCode="0.00">
                  <c:v>2.2804878048780486</c:v>
                </c:pt>
                <c:pt idx="2" formatCode="0%">
                  <c:v>0</c:v>
                </c:pt>
                <c:pt idx="3" formatCode="0.00">
                  <c:v>4.3260188087774294</c:v>
                </c:pt>
                <c:pt idx="5" formatCode="0%">
                  <c:v>0</c:v>
                </c:pt>
                <c:pt idx="6" formatCode="0.00">
                  <c:v>1.125</c:v>
                </c:pt>
              </c:numCache>
            </c:numRef>
          </c:val>
          <c:extLst>
            <c:ext xmlns:c16="http://schemas.microsoft.com/office/drawing/2014/chart" uri="{C3380CC4-5D6E-409C-BE32-E72D297353CC}">
              <c16:uniqueId val="{00000005-AB35-4660-A900-27F57DC240C4}"/>
            </c:ext>
          </c:extLst>
        </c:ser>
        <c:ser>
          <c:idx val="2"/>
          <c:order val="2"/>
          <c:tx>
            <c:strRef>
              <c:f>'Säilörehun tuotantokustannus'!$T$45</c:f>
              <c:strCache>
                <c:ptCount val="1"/>
                <c:pt idx="0">
                  <c:v>Kiinteät kustannukset</c:v>
                </c:pt>
              </c:strCache>
            </c:strRef>
          </c:tx>
          <c:spPr>
            <a:solidFill>
              <a:schemeClr val="accent3"/>
            </a:solidFill>
            <a:ln>
              <a:noFill/>
            </a:ln>
            <a:effectLst/>
            <a:sp3d/>
          </c:spPr>
          <c:invertIfNegative val="0"/>
          <c:dPt>
            <c:idx val="2"/>
            <c:invertIfNegative val="0"/>
            <c:bubble3D val="0"/>
            <c:spPr>
              <a:solidFill>
                <a:schemeClr val="bg1">
                  <a:lumMod val="95000"/>
                </a:schemeClr>
              </a:solidFill>
              <a:ln>
                <a:noFill/>
              </a:ln>
              <a:effectLst/>
              <a:sp3d/>
            </c:spPr>
            <c:extLst>
              <c:ext xmlns:c16="http://schemas.microsoft.com/office/drawing/2014/chart" uri="{C3380CC4-5D6E-409C-BE32-E72D297353CC}">
                <c16:uniqueId val="{00000007-AB35-4660-A900-27F57DC240C4}"/>
              </c:ext>
            </c:extLst>
          </c:dPt>
          <c:dPt>
            <c:idx val="5"/>
            <c:invertIfNegative val="0"/>
            <c:bubble3D val="0"/>
            <c:spPr>
              <a:solidFill>
                <a:schemeClr val="bg1"/>
              </a:solidFill>
              <a:ln>
                <a:noFill/>
              </a:ln>
              <a:effectLst/>
              <a:sp3d/>
            </c:spPr>
            <c:extLst>
              <c:ext xmlns:c16="http://schemas.microsoft.com/office/drawing/2014/chart" uri="{C3380CC4-5D6E-409C-BE32-E72D297353CC}">
                <c16:uniqueId val="{00000009-AB35-4660-A900-27F57DC240C4}"/>
              </c:ext>
            </c:extLst>
          </c:dPt>
          <c:dLbls>
            <c:dLbl>
              <c:idx val="2"/>
              <c:delete val="1"/>
              <c:extLst>
                <c:ext xmlns:c15="http://schemas.microsoft.com/office/drawing/2012/chart" uri="{CE6537A1-D6FC-4f65-9D91-7224C49458BB}"/>
                <c:ext xmlns:c16="http://schemas.microsoft.com/office/drawing/2014/chart" uri="{C3380CC4-5D6E-409C-BE32-E72D297353CC}">
                  <c16:uniqueId val="{00000007-AB35-4660-A900-27F57DC240C4}"/>
                </c:ext>
              </c:extLst>
            </c:dLbl>
            <c:dLbl>
              <c:idx val="5"/>
              <c:delete val="1"/>
              <c:extLst>
                <c:ext xmlns:c15="http://schemas.microsoft.com/office/drawing/2012/chart" uri="{CE6537A1-D6FC-4f65-9D91-7224C49458BB}"/>
                <c:ext xmlns:c16="http://schemas.microsoft.com/office/drawing/2014/chart" uri="{C3380CC4-5D6E-409C-BE32-E72D297353CC}">
                  <c16:uniqueId val="{00000009-AB35-4660-A900-27F57DC240C4}"/>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i-FI"/>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'Säilörehun tuotantokustannus'!$U$42:$AB$42</c:f>
              <c:strCache>
                <c:ptCount val="8"/>
                <c:pt idx="0">
                  <c:v>Oma tuot.kust.</c:v>
                </c:pt>
                <c:pt idx="1">
                  <c:v>(TK- tuet)</c:v>
                </c:pt>
                <c:pt idx="3">
                  <c:v>Hyvä</c:v>
                </c:pt>
                <c:pt idx="4">
                  <c:v>(TK- tuet)</c:v>
                </c:pt>
                <c:pt idx="6">
                  <c:v>Erinomainen</c:v>
                </c:pt>
                <c:pt idx="7">
                  <c:v>(TK- tuet)</c:v>
                </c:pt>
              </c:strCache>
            </c:strRef>
          </c:cat>
          <c:val>
            <c:numRef>
              <c:f>'Säilörehun tuotantokustannus'!$U$45:$AB$45</c:f>
              <c:numCache>
                <c:formatCode>General</c:formatCode>
                <c:ptCount val="8"/>
                <c:pt idx="0" formatCode="0.00">
                  <c:v>11.603148775071244</c:v>
                </c:pt>
                <c:pt idx="2" formatCode="0%">
                  <c:v>0</c:v>
                </c:pt>
                <c:pt idx="3" formatCode="0.00">
                  <c:v>8.1011371403715895</c:v>
                </c:pt>
                <c:pt idx="5" formatCode="0%">
                  <c:v>0</c:v>
                </c:pt>
                <c:pt idx="6" formatCode="0.00">
                  <c:v>8.1445459141797176</c:v>
                </c:pt>
              </c:numCache>
            </c:numRef>
          </c:val>
          <c:extLst>
            <c:ext xmlns:c16="http://schemas.microsoft.com/office/drawing/2014/chart" uri="{C3380CC4-5D6E-409C-BE32-E72D297353CC}">
              <c16:uniqueId val="{0000000A-AB35-4660-A900-27F57DC240C4}"/>
            </c:ext>
          </c:extLst>
        </c:ser>
        <c:ser>
          <c:idx val="3"/>
          <c:order val="3"/>
          <c:tx>
            <c:strRef>
              <c:f>'Säilörehun tuotantokustannus'!$T$46</c:f>
              <c:strCache>
                <c:ptCount val="1"/>
                <c:pt idx="0">
                  <c:v>Tk - tuet</c:v>
                </c:pt>
              </c:strCache>
            </c:strRef>
          </c:tx>
          <c:spPr>
            <a:solidFill>
              <a:schemeClr val="accent4"/>
            </a:solidFill>
            <a:ln w="0">
              <a:solidFill>
                <a:schemeClr val="tx1">
                  <a:lumMod val="15000"/>
                  <a:lumOff val="85000"/>
                </a:schemeClr>
              </a:solidFill>
            </a:ln>
            <a:effectLst/>
            <a:sp3d>
              <a:contourClr>
                <a:schemeClr val="tx1">
                  <a:lumMod val="15000"/>
                  <a:lumOff val="85000"/>
                </a:schemeClr>
              </a:contourClr>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i-FI"/>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'Säilörehun tuotantokustannus'!$U$42:$AB$42</c:f>
              <c:strCache>
                <c:ptCount val="8"/>
                <c:pt idx="0">
                  <c:v>Oma tuot.kust.</c:v>
                </c:pt>
                <c:pt idx="1">
                  <c:v>(TK- tuet)</c:v>
                </c:pt>
                <c:pt idx="3">
                  <c:v>Hyvä</c:v>
                </c:pt>
                <c:pt idx="4">
                  <c:v>(TK- tuet)</c:v>
                </c:pt>
                <c:pt idx="6">
                  <c:v>Erinomainen</c:v>
                </c:pt>
                <c:pt idx="7">
                  <c:v>(TK- tuet)</c:v>
                </c:pt>
              </c:strCache>
            </c:strRef>
          </c:cat>
          <c:val>
            <c:numRef>
              <c:f>'Säilörehun tuotantokustannus'!$U$46:$AB$46</c:f>
              <c:numCache>
                <c:formatCode>0.00</c:formatCode>
                <c:ptCount val="8"/>
                <c:pt idx="1">
                  <c:v>12.014544186297011</c:v>
                </c:pt>
                <c:pt idx="4">
                  <c:v>11.317010608596155</c:v>
                </c:pt>
                <c:pt idx="7">
                  <c:v>9.3348212638300652</c:v>
                </c:pt>
              </c:numCache>
            </c:numRef>
          </c:val>
          <c:extLst>
            <c:ext xmlns:c16="http://schemas.microsoft.com/office/drawing/2014/chart" uri="{C3380CC4-5D6E-409C-BE32-E72D297353CC}">
              <c16:uniqueId val="{0000000B-AB35-4660-A900-27F57DC240C4}"/>
            </c:ext>
          </c:extLst>
        </c:ser>
        <c:dLbls>
          <c:showLegendKey val="0"/>
          <c:showVal val="1"/>
          <c:showCatName val="0"/>
          <c:showSerName val="0"/>
          <c:showPercent val="0"/>
          <c:showBubbleSize val="0"/>
        </c:dLbls>
        <c:gapWidth val="0"/>
        <c:gapDepth val="35"/>
        <c:shape val="cylinder"/>
        <c:axId val="520741832"/>
        <c:axId val="520742224"/>
        <c:axId val="0"/>
      </c:bar3DChart>
      <c:catAx>
        <c:axId val="520741832"/>
        <c:scaling>
          <c:orientation val="minMax"/>
        </c:scaling>
        <c:delete val="0"/>
        <c:axPos val="b"/>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b" anchorCtr="1"/>
          <a:lstStyle/>
          <a:p>
            <a:pPr>
              <a:defRPr sz="700" b="0" i="0" u="none" strike="noStrike" kern="1200" baseline="0">
                <a:solidFill>
                  <a:schemeClr val="bg1"/>
                </a:solidFill>
                <a:latin typeface="+mn-lt"/>
                <a:ea typeface="+mn-ea"/>
                <a:cs typeface="+mn-cs"/>
              </a:defRPr>
            </a:pPr>
            <a:endParaRPr lang="fi-FI"/>
          </a:p>
        </c:txPr>
        <c:crossAx val="520742224"/>
        <c:crosses val="autoZero"/>
        <c:auto val="1"/>
        <c:lblAlgn val="ctr"/>
        <c:lblOffset val="100"/>
        <c:noMultiLvlLbl val="0"/>
      </c:catAx>
      <c:valAx>
        <c:axId val="520742224"/>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bg1"/>
                </a:solidFill>
                <a:latin typeface="+mn-lt"/>
                <a:ea typeface="+mn-ea"/>
                <a:cs typeface="+mn-cs"/>
              </a:defRPr>
            </a:pPr>
            <a:endParaRPr lang="fi-FI"/>
          </a:p>
        </c:txPr>
        <c:crossAx val="520741832"/>
        <c:crosses val="autoZero"/>
        <c:crossBetween val="between"/>
      </c:valAx>
      <c:spPr>
        <a:blipFill dpi="0" rotWithShape="1">
          <a:blip xmlns:r="http://schemas.openxmlformats.org/officeDocument/2006/relationships" r:embed="rId3">
            <a:extLst>
              <a:ext uri="{28A0092B-C50C-407E-A947-70E740481C1C}">
                <a14:useLocalDpi xmlns:a14="http://schemas.microsoft.com/office/drawing/2010/main" val="0"/>
              </a:ext>
            </a:extLst>
          </a:blip>
          <a:srcRect/>
          <a:stretch>
            <a:fillRect/>
          </a:stretch>
        </a:blipFill>
        <a:ln>
          <a:noFill/>
        </a:ln>
        <a:effectLst/>
      </c:spPr>
    </c:plotArea>
    <c:legend>
      <c:legendPos val="b"/>
      <c:layout>
        <c:manualLayout>
          <c:xMode val="edge"/>
          <c:yMode val="edge"/>
          <c:x val="5.0000051363442592E-2"/>
          <c:y val="0.92160033209018222"/>
          <c:w val="0.8999998972731148"/>
          <c:h val="7.4013701482836536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i-FI"/>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i-FI"/>
              <a:t>Säilörehun sato: Tuoresato kg/ha</a:t>
            </a:r>
            <a:r>
              <a:rPr lang="fi-FI" baseline="0"/>
              <a:t> ja kuiva-ainesato </a:t>
            </a:r>
            <a:r>
              <a:rPr lang="fi-FI"/>
              <a:t>kg ka/ha</a:t>
            </a:r>
          </a:p>
        </c:rich>
      </c:tx>
      <c:layout>
        <c:manualLayout>
          <c:xMode val="edge"/>
          <c:yMode val="edge"/>
          <c:x val="0.25472684730033074"/>
          <c:y val="8.3333233535922077E-2"/>
        </c:manualLayout>
      </c:layout>
      <c:overlay val="0"/>
      <c:spPr>
        <a:solidFill>
          <a:schemeClr val="accent6">
            <a:lumMod val="20000"/>
            <a:lumOff val="80000"/>
          </a:schemeClr>
        </a:solid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i-FI"/>
        </a:p>
      </c:txPr>
    </c:title>
    <c:autoTitleDeleted val="0"/>
    <c:plotArea>
      <c:layout>
        <c:manualLayout>
          <c:layoutTarget val="inner"/>
          <c:xMode val="edge"/>
          <c:yMode val="edge"/>
          <c:x val="6.298474924009656E-2"/>
          <c:y val="6.0601851851851851E-2"/>
          <c:w val="0.9186129086436341"/>
          <c:h val="0.75469196558763496"/>
        </c:manualLayout>
      </c:layout>
      <c:barChart>
        <c:barDir val="col"/>
        <c:grouping val="clustered"/>
        <c:varyColors val="0"/>
        <c:ser>
          <c:idx val="0"/>
          <c:order val="0"/>
          <c:spPr>
            <a:solidFill>
              <a:schemeClr val="accent2"/>
            </a:solidFill>
            <a:ln>
              <a:noFill/>
            </a:ln>
            <a:effectLst/>
          </c:spPr>
          <c:invertIfNegative val="0"/>
          <c:cat>
            <c:multiLvlStrRef>
              <c:f>Rehuntuotanto!$C$75:$D$93</c:f>
              <c:multiLvlStrCache>
                <c:ptCount val="19"/>
                <c:lvl>
                  <c:pt idx="0">
                    <c:v>yhteensä</c:v>
                  </c:pt>
                  <c:pt idx="1">
                    <c:v>1. sato</c:v>
                  </c:pt>
                  <c:pt idx="2">
                    <c:v>2. sato</c:v>
                  </c:pt>
                  <c:pt idx="3">
                    <c:v>3. sato</c:v>
                  </c:pt>
                  <c:pt idx="5">
                    <c:v>yhteensä</c:v>
                  </c:pt>
                  <c:pt idx="6">
                    <c:v>1. sato</c:v>
                  </c:pt>
                  <c:pt idx="7">
                    <c:v>2. sato</c:v>
                  </c:pt>
                  <c:pt idx="8">
                    <c:v>3. sato</c:v>
                  </c:pt>
                  <c:pt idx="10">
                    <c:v>yhteensä</c:v>
                  </c:pt>
                  <c:pt idx="11">
                    <c:v>1. sato</c:v>
                  </c:pt>
                  <c:pt idx="12">
                    <c:v>2. sato</c:v>
                  </c:pt>
                  <c:pt idx="13">
                    <c:v>3. sato</c:v>
                  </c:pt>
                  <c:pt idx="15">
                    <c:v>yhteensä</c:v>
                  </c:pt>
                  <c:pt idx="16">
                    <c:v>1. sato</c:v>
                  </c:pt>
                  <c:pt idx="17">
                    <c:v>2. sato</c:v>
                  </c:pt>
                  <c:pt idx="18">
                    <c:v>3. sato</c:v>
                  </c:pt>
                </c:lvl>
                <c:lvl>
                  <c:pt idx="0">
                    <c:v>Laakasiiloon</c:v>
                  </c:pt>
                  <c:pt idx="5">
                    <c:v>Pyöröpaaleihin</c:v>
                  </c:pt>
                  <c:pt idx="10">
                    <c:v>Umpilehmille</c:v>
                  </c:pt>
                  <c:pt idx="15">
                    <c:v>Sopimuspelloilta</c:v>
                  </c:pt>
                </c:lvl>
              </c:multiLvlStrCache>
            </c:multiLvlStrRef>
          </c:cat>
          <c:val>
            <c:numRef>
              <c:f>Rehuntuotanto!$D$9:$D$27</c:f>
              <c:numCache>
                <c:formatCode>General</c:formatCode>
                <c:ptCount val="19"/>
                <c:pt idx="1">
                  <c:v>0</c:v>
                </c:pt>
                <c:pt idx="2">
                  <c:v>0</c:v>
                </c:pt>
                <c:pt idx="3">
                  <c:v>0</c:v>
                </c:pt>
                <c:pt idx="6">
                  <c:v>0</c:v>
                </c:pt>
                <c:pt idx="7">
                  <c:v>0</c:v>
                </c:pt>
                <c:pt idx="8">
                  <c:v>0</c:v>
                </c:pt>
                <c:pt idx="11">
                  <c:v>0</c:v>
                </c:pt>
                <c:pt idx="12">
                  <c:v>0</c:v>
                </c:pt>
                <c:pt idx="13">
                  <c:v>0</c:v>
                </c:pt>
                <c:pt idx="16">
                  <c:v>0</c:v>
                </c:pt>
                <c:pt idx="17">
                  <c:v>0</c:v>
                </c:pt>
                <c:pt idx="18">
                  <c:v>0</c:v>
                </c:pt>
              </c:numCache>
            </c:numRef>
          </c:val>
          <c:extLst>
            <c:ext xmlns:c16="http://schemas.microsoft.com/office/drawing/2014/chart" uri="{C3380CC4-5D6E-409C-BE32-E72D297353CC}">
              <c16:uniqueId val="{00000000-9D94-437A-A235-B1D98B5319C7}"/>
            </c:ext>
          </c:extLst>
        </c:ser>
        <c:ser>
          <c:idx val="1"/>
          <c:order val="1"/>
          <c:spPr>
            <a:solidFill>
              <a:schemeClr val="accent4"/>
            </a:solidFill>
            <a:ln>
              <a:noFill/>
            </a:ln>
            <a:effectLst/>
          </c:spPr>
          <c:invertIfNegative val="0"/>
          <c:cat>
            <c:multiLvlStrRef>
              <c:f>Rehuntuotanto!$C$75:$D$93</c:f>
              <c:multiLvlStrCache>
                <c:ptCount val="19"/>
                <c:lvl>
                  <c:pt idx="0">
                    <c:v>yhteensä</c:v>
                  </c:pt>
                  <c:pt idx="1">
                    <c:v>1. sato</c:v>
                  </c:pt>
                  <c:pt idx="2">
                    <c:v>2. sato</c:v>
                  </c:pt>
                  <c:pt idx="3">
                    <c:v>3. sato</c:v>
                  </c:pt>
                  <c:pt idx="5">
                    <c:v>yhteensä</c:v>
                  </c:pt>
                  <c:pt idx="6">
                    <c:v>1. sato</c:v>
                  </c:pt>
                  <c:pt idx="7">
                    <c:v>2. sato</c:v>
                  </c:pt>
                  <c:pt idx="8">
                    <c:v>3. sato</c:v>
                  </c:pt>
                  <c:pt idx="10">
                    <c:v>yhteensä</c:v>
                  </c:pt>
                  <c:pt idx="11">
                    <c:v>1. sato</c:v>
                  </c:pt>
                  <c:pt idx="12">
                    <c:v>2. sato</c:v>
                  </c:pt>
                  <c:pt idx="13">
                    <c:v>3. sato</c:v>
                  </c:pt>
                  <c:pt idx="15">
                    <c:v>yhteensä</c:v>
                  </c:pt>
                  <c:pt idx="16">
                    <c:v>1. sato</c:v>
                  </c:pt>
                  <c:pt idx="17">
                    <c:v>2. sato</c:v>
                  </c:pt>
                  <c:pt idx="18">
                    <c:v>3. sato</c:v>
                  </c:pt>
                </c:lvl>
                <c:lvl>
                  <c:pt idx="0">
                    <c:v>Laakasiiloon</c:v>
                  </c:pt>
                  <c:pt idx="5">
                    <c:v>Pyöröpaaleihin</c:v>
                  </c:pt>
                  <c:pt idx="10">
                    <c:v>Umpilehmille</c:v>
                  </c:pt>
                  <c:pt idx="15">
                    <c:v>Sopimuspelloilta</c:v>
                  </c:pt>
                </c:lvl>
              </c:multiLvlStrCache>
            </c:multiLvlStrRef>
          </c:cat>
          <c:val>
            <c:numRef>
              <c:f>Rehuntuotanto!$G$9:$G$27</c:f>
              <c:numCache>
                <c:formatCode>#,##0</c:formatCode>
                <c:ptCount val="19"/>
                <c:pt idx="0">
                  <c:v>30000</c:v>
                </c:pt>
                <c:pt idx="1">
                  <c:v>20000</c:v>
                </c:pt>
                <c:pt idx="2">
                  <c:v>10000</c:v>
                </c:pt>
                <c:pt idx="5">
                  <c:v>0</c:v>
                </c:pt>
                <c:pt idx="10">
                  <c:v>0</c:v>
                </c:pt>
                <c:pt idx="15">
                  <c:v>0</c:v>
                </c:pt>
              </c:numCache>
            </c:numRef>
          </c:val>
          <c:extLst>
            <c:ext xmlns:c16="http://schemas.microsoft.com/office/drawing/2014/chart" uri="{C3380CC4-5D6E-409C-BE32-E72D297353CC}">
              <c16:uniqueId val="{00000001-9D94-437A-A235-B1D98B5319C7}"/>
            </c:ext>
          </c:extLst>
        </c:ser>
        <c:ser>
          <c:idx val="2"/>
          <c:order val="2"/>
          <c:spPr>
            <a:solidFill>
              <a:schemeClr val="accent6"/>
            </a:solidFill>
            <a:ln>
              <a:noFill/>
            </a:ln>
            <a:effectLst/>
          </c:spPr>
          <c:invertIfNegative val="0"/>
          <c:cat>
            <c:multiLvlStrRef>
              <c:f>Rehuntuotanto!$C$75:$D$93</c:f>
              <c:multiLvlStrCache>
                <c:ptCount val="19"/>
                <c:lvl>
                  <c:pt idx="0">
                    <c:v>yhteensä</c:v>
                  </c:pt>
                  <c:pt idx="1">
                    <c:v>1. sato</c:v>
                  </c:pt>
                  <c:pt idx="2">
                    <c:v>2. sato</c:v>
                  </c:pt>
                  <c:pt idx="3">
                    <c:v>3. sato</c:v>
                  </c:pt>
                  <c:pt idx="5">
                    <c:v>yhteensä</c:v>
                  </c:pt>
                  <c:pt idx="6">
                    <c:v>1. sato</c:v>
                  </c:pt>
                  <c:pt idx="7">
                    <c:v>2. sato</c:v>
                  </c:pt>
                  <c:pt idx="8">
                    <c:v>3. sato</c:v>
                  </c:pt>
                  <c:pt idx="10">
                    <c:v>yhteensä</c:v>
                  </c:pt>
                  <c:pt idx="11">
                    <c:v>1. sato</c:v>
                  </c:pt>
                  <c:pt idx="12">
                    <c:v>2. sato</c:v>
                  </c:pt>
                  <c:pt idx="13">
                    <c:v>3. sato</c:v>
                  </c:pt>
                  <c:pt idx="15">
                    <c:v>yhteensä</c:v>
                  </c:pt>
                  <c:pt idx="16">
                    <c:v>1. sato</c:v>
                  </c:pt>
                  <c:pt idx="17">
                    <c:v>2. sato</c:v>
                  </c:pt>
                  <c:pt idx="18">
                    <c:v>3. sato</c:v>
                  </c:pt>
                </c:lvl>
                <c:lvl>
                  <c:pt idx="0">
                    <c:v>Laakasiiloon</c:v>
                  </c:pt>
                  <c:pt idx="5">
                    <c:v>Pyöröpaaleihin</c:v>
                  </c:pt>
                  <c:pt idx="10">
                    <c:v>Umpilehmille</c:v>
                  </c:pt>
                  <c:pt idx="15">
                    <c:v>Sopimuspelloilta</c:v>
                  </c:pt>
                </c:lvl>
              </c:multiLvlStrCache>
            </c:multiLvlStrRef>
          </c:cat>
          <c:val>
            <c:numRef>
              <c:f>Rehuntuotanto!$I$9:$I$27</c:f>
              <c:numCache>
                <c:formatCode>#,##0</c:formatCode>
                <c:ptCount val="19"/>
                <c:pt idx="0">
                  <c:v>9700</c:v>
                </c:pt>
                <c:pt idx="1">
                  <c:v>6400</c:v>
                </c:pt>
                <c:pt idx="2">
                  <c:v>3300</c:v>
                </c:pt>
                <c:pt idx="3">
                  <c:v>0</c:v>
                </c:pt>
                <c:pt idx="5">
                  <c:v>0</c:v>
                </c:pt>
                <c:pt idx="6">
                  <c:v>0</c:v>
                </c:pt>
                <c:pt idx="7">
                  <c:v>0</c:v>
                </c:pt>
                <c:pt idx="8">
                  <c:v>0</c:v>
                </c:pt>
                <c:pt idx="10">
                  <c:v>0</c:v>
                </c:pt>
                <c:pt idx="11">
                  <c:v>0</c:v>
                </c:pt>
                <c:pt idx="12">
                  <c:v>0</c:v>
                </c:pt>
                <c:pt idx="13">
                  <c:v>0</c:v>
                </c:pt>
                <c:pt idx="15">
                  <c:v>0</c:v>
                </c:pt>
                <c:pt idx="16">
                  <c:v>0</c:v>
                </c:pt>
                <c:pt idx="17">
                  <c:v>0</c:v>
                </c:pt>
                <c:pt idx="18">
                  <c:v>0</c:v>
                </c:pt>
              </c:numCache>
            </c:numRef>
          </c:val>
          <c:extLst>
            <c:ext xmlns:c16="http://schemas.microsoft.com/office/drawing/2014/chart" uri="{C3380CC4-5D6E-409C-BE32-E72D297353CC}">
              <c16:uniqueId val="{00000002-9D94-437A-A235-B1D98B5319C7}"/>
            </c:ext>
          </c:extLst>
        </c:ser>
        <c:dLbls>
          <c:showLegendKey val="0"/>
          <c:showVal val="0"/>
          <c:showCatName val="0"/>
          <c:showSerName val="0"/>
          <c:showPercent val="0"/>
          <c:showBubbleSize val="0"/>
        </c:dLbls>
        <c:gapWidth val="24"/>
        <c:overlap val="50"/>
        <c:axId val="749235008"/>
        <c:axId val="749235400"/>
      </c:barChart>
      <c:catAx>
        <c:axId val="749235008"/>
        <c:scaling>
          <c:orientation val="minMax"/>
        </c:scaling>
        <c:delete val="0"/>
        <c:axPos val="b"/>
        <c:minorGridlines>
          <c:spPr>
            <a:ln w="9525" cap="flat" cmpd="sng" algn="ctr">
              <a:solidFill>
                <a:schemeClr val="tx1">
                  <a:lumMod val="5000"/>
                  <a:lumOff val="95000"/>
                </a:schemeClr>
              </a:solidFill>
              <a:round/>
            </a:ln>
            <a:effectLst/>
          </c:spPr>
        </c:min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crossAx val="749235400"/>
        <c:crosses val="autoZero"/>
        <c:auto val="1"/>
        <c:lblAlgn val="ctr"/>
        <c:lblOffset val="100"/>
        <c:noMultiLvlLbl val="0"/>
      </c:catAx>
      <c:valAx>
        <c:axId val="74923540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crossAx val="74923500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i-FI"/>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Rehujen energiasadot, MJ/ha</a:t>
            </a:r>
          </a:p>
        </c:rich>
      </c:tx>
      <c:layout>
        <c:manualLayout>
          <c:xMode val="edge"/>
          <c:yMode val="edge"/>
          <c:x val="0.37994432846207382"/>
          <c:y val="5.0314465408805034E-2"/>
        </c:manualLayout>
      </c:layout>
      <c:overlay val="0"/>
      <c:spPr>
        <a:solidFill>
          <a:schemeClr val="accent1">
            <a:lumMod val="20000"/>
            <a:lumOff val="80000"/>
          </a:schemeClr>
        </a:solid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i-FI"/>
        </a:p>
      </c:txPr>
    </c:title>
    <c:autoTitleDeleted val="0"/>
    <c:plotArea>
      <c:layout>
        <c:manualLayout>
          <c:layoutTarget val="inner"/>
          <c:xMode val="edge"/>
          <c:yMode val="edge"/>
          <c:x val="6.075036027594672E-2"/>
          <c:y val="6.2855444956172929E-2"/>
          <c:w val="0.92714031309760603"/>
          <c:h val="0.50854929926212056"/>
        </c:manualLayout>
      </c:layout>
      <c:barChart>
        <c:barDir val="col"/>
        <c:grouping val="clustered"/>
        <c:varyColors val="0"/>
        <c:ser>
          <c:idx val="0"/>
          <c:order val="0"/>
          <c:spPr>
            <a:solidFill>
              <a:schemeClr val="accent5">
                <a:shade val="65000"/>
              </a:schemeClr>
            </a:solidFill>
            <a:ln>
              <a:noFill/>
            </a:ln>
            <a:effectLst/>
          </c:spPr>
          <c:invertIfNegative val="0"/>
          <c:cat>
            <c:multiLvlStrRef>
              <c:f>Rehuntuotanto!$B$73:$D$121</c:f>
              <c:multiLvlStrCache>
                <c:ptCount val="49"/>
                <c:lvl>
                  <c:pt idx="0">
                    <c:v>Säilörehu yht.</c:v>
                  </c:pt>
                  <c:pt idx="2">
                    <c:v>yhteensä</c:v>
                  </c:pt>
                  <c:pt idx="3">
                    <c:v>1. sato</c:v>
                  </c:pt>
                  <c:pt idx="4">
                    <c:v>2. sato</c:v>
                  </c:pt>
                  <c:pt idx="5">
                    <c:v>3. sato</c:v>
                  </c:pt>
                  <c:pt idx="7">
                    <c:v>yhteensä</c:v>
                  </c:pt>
                  <c:pt idx="8">
                    <c:v>1. sato</c:v>
                  </c:pt>
                  <c:pt idx="9">
                    <c:v>2. sato</c:v>
                  </c:pt>
                  <c:pt idx="10">
                    <c:v>3. sato</c:v>
                  </c:pt>
                  <c:pt idx="12">
                    <c:v>yhteensä</c:v>
                  </c:pt>
                  <c:pt idx="13">
                    <c:v>1. sato</c:v>
                  </c:pt>
                  <c:pt idx="14">
                    <c:v>2. sato</c:v>
                  </c:pt>
                  <c:pt idx="15">
                    <c:v>3. sato</c:v>
                  </c:pt>
                  <c:pt idx="17">
                    <c:v>yhteensä</c:v>
                  </c:pt>
                  <c:pt idx="18">
                    <c:v>1. sato</c:v>
                  </c:pt>
                  <c:pt idx="19">
                    <c:v>2. sato</c:v>
                  </c:pt>
                  <c:pt idx="20">
                    <c:v>3. sato</c:v>
                  </c:pt>
                  <c:pt idx="22">
                    <c:v>Rehuvilja yht.</c:v>
                  </c:pt>
                  <c:pt idx="23">
                    <c:v>Ohra</c:v>
                  </c:pt>
                  <c:pt idx="24">
                    <c:v>Kaura</c:v>
                  </c:pt>
                  <c:pt idx="25">
                    <c:v>Vehnä</c:v>
                  </c:pt>
                  <c:pt idx="26">
                    <c:v>Seosvilja</c:v>
                  </c:pt>
                  <c:pt idx="27">
                    <c:v>Sopimuspelloilta</c:v>
                  </c:pt>
                  <c:pt idx="29">
                    <c:v>Kokov.sr.yht.</c:v>
                  </c:pt>
                  <c:pt idx="30">
                    <c:v>Laakasiiloon</c:v>
                  </c:pt>
                  <c:pt idx="31">
                    <c:v>Pyöröpaaleihin</c:v>
                  </c:pt>
                  <c:pt idx="32">
                    <c:v>Umpilehmille</c:v>
                  </c:pt>
                  <c:pt idx="33">
                    <c:v>muu kokoviljasr</c:v>
                  </c:pt>
                  <c:pt idx="34">
                    <c:v>Sopimuspelloilta</c:v>
                  </c:pt>
                  <c:pt idx="36">
                    <c:v>Laidun yht.</c:v>
                  </c:pt>
                  <c:pt idx="37">
                    <c:v>Nurmilaidun</c:v>
                  </c:pt>
                  <c:pt idx="38">
                    <c:v>Pikalaidun</c:v>
                  </c:pt>
                  <c:pt idx="40">
                    <c:v>Luonnonlaidun</c:v>
                  </c:pt>
                  <c:pt idx="41">
                    <c:v>Sopimuspelloilta</c:v>
                  </c:pt>
                  <c:pt idx="43">
                    <c:v>Muut yht.</c:v>
                  </c:pt>
                  <c:pt idx="44">
                    <c:v>Kuivaheinä</c:v>
                  </c:pt>
                  <c:pt idx="45">
                    <c:v>Maissi</c:v>
                  </c:pt>
                  <c:pt idx="48">
                    <c:v>Sopimuspelloilta</c:v>
                  </c:pt>
                </c:lvl>
                <c:lvl>
                  <c:pt idx="2">
                    <c:v>Laakasiiloon</c:v>
                  </c:pt>
                  <c:pt idx="7">
                    <c:v>Pyöröpaaleihin</c:v>
                  </c:pt>
                  <c:pt idx="12">
                    <c:v>Umpilehmille</c:v>
                  </c:pt>
                  <c:pt idx="17">
                    <c:v>Sopimuspelloilta</c:v>
                  </c:pt>
                </c:lvl>
                <c:lvl>
                  <c:pt idx="0">
                    <c:v>Säilörehu</c:v>
                  </c:pt>
                  <c:pt idx="22">
                    <c:v>Rehuvilja</c:v>
                  </c:pt>
                  <c:pt idx="29">
                    <c:v>Kokoviljasäilörehu</c:v>
                  </c:pt>
                  <c:pt idx="36">
                    <c:v>Laidun</c:v>
                  </c:pt>
                  <c:pt idx="43">
                    <c:v>Muut korsirehut</c:v>
                  </c:pt>
                </c:lvl>
              </c:multiLvlStrCache>
            </c:multiLvlStrRef>
          </c:cat>
          <c:val>
            <c:numRef>
              <c:f>Rehuntuotanto!$C$7:$C$55</c:f>
              <c:numCache>
                <c:formatCode>General</c:formatCode>
                <c:ptCount val="49"/>
                <c:pt idx="2">
                  <c:v>0</c:v>
                </c:pt>
                <c:pt idx="7">
                  <c:v>0</c:v>
                </c:pt>
                <c:pt idx="12">
                  <c:v>0</c:v>
                </c:pt>
                <c:pt idx="17">
                  <c:v>0</c:v>
                </c:pt>
                <c:pt idx="23">
                  <c:v>0</c:v>
                </c:pt>
                <c:pt idx="24">
                  <c:v>0</c:v>
                </c:pt>
                <c:pt idx="25">
                  <c:v>0</c:v>
                </c:pt>
                <c:pt idx="26">
                  <c:v>0</c:v>
                </c:pt>
                <c:pt idx="27">
                  <c:v>0</c:v>
                </c:pt>
                <c:pt idx="30">
                  <c:v>0</c:v>
                </c:pt>
                <c:pt idx="31">
                  <c:v>0</c:v>
                </c:pt>
                <c:pt idx="32">
                  <c:v>0</c:v>
                </c:pt>
                <c:pt idx="33">
                  <c:v>0</c:v>
                </c:pt>
                <c:pt idx="34">
                  <c:v>0</c:v>
                </c:pt>
                <c:pt idx="37">
                  <c:v>0</c:v>
                </c:pt>
                <c:pt idx="38">
                  <c:v>0</c:v>
                </c:pt>
                <c:pt idx="40">
                  <c:v>0</c:v>
                </c:pt>
                <c:pt idx="41">
                  <c:v>0</c:v>
                </c:pt>
                <c:pt idx="44">
                  <c:v>0</c:v>
                </c:pt>
                <c:pt idx="45">
                  <c:v>0</c:v>
                </c:pt>
                <c:pt idx="48">
                  <c:v>0</c:v>
                </c:pt>
              </c:numCache>
            </c:numRef>
          </c:val>
          <c:extLst>
            <c:ext xmlns:c16="http://schemas.microsoft.com/office/drawing/2014/chart" uri="{C3380CC4-5D6E-409C-BE32-E72D297353CC}">
              <c16:uniqueId val="{00000000-12FC-4EEB-82CA-A25CB8E00E95}"/>
            </c:ext>
          </c:extLst>
        </c:ser>
        <c:ser>
          <c:idx val="1"/>
          <c:order val="1"/>
          <c:spPr>
            <a:solidFill>
              <a:schemeClr val="accent5"/>
            </a:solidFill>
            <a:ln>
              <a:noFill/>
            </a:ln>
            <a:effectLst/>
          </c:spPr>
          <c:invertIfNegative val="0"/>
          <c:cat>
            <c:multiLvlStrRef>
              <c:f>Rehuntuotanto!$B$73:$D$121</c:f>
              <c:multiLvlStrCache>
                <c:ptCount val="49"/>
                <c:lvl>
                  <c:pt idx="0">
                    <c:v>Säilörehu yht.</c:v>
                  </c:pt>
                  <c:pt idx="2">
                    <c:v>yhteensä</c:v>
                  </c:pt>
                  <c:pt idx="3">
                    <c:v>1. sato</c:v>
                  </c:pt>
                  <c:pt idx="4">
                    <c:v>2. sato</c:v>
                  </c:pt>
                  <c:pt idx="5">
                    <c:v>3. sato</c:v>
                  </c:pt>
                  <c:pt idx="7">
                    <c:v>yhteensä</c:v>
                  </c:pt>
                  <c:pt idx="8">
                    <c:v>1. sato</c:v>
                  </c:pt>
                  <c:pt idx="9">
                    <c:v>2. sato</c:v>
                  </c:pt>
                  <c:pt idx="10">
                    <c:v>3. sato</c:v>
                  </c:pt>
                  <c:pt idx="12">
                    <c:v>yhteensä</c:v>
                  </c:pt>
                  <c:pt idx="13">
                    <c:v>1. sato</c:v>
                  </c:pt>
                  <c:pt idx="14">
                    <c:v>2. sato</c:v>
                  </c:pt>
                  <c:pt idx="15">
                    <c:v>3. sato</c:v>
                  </c:pt>
                  <c:pt idx="17">
                    <c:v>yhteensä</c:v>
                  </c:pt>
                  <c:pt idx="18">
                    <c:v>1. sato</c:v>
                  </c:pt>
                  <c:pt idx="19">
                    <c:v>2. sato</c:v>
                  </c:pt>
                  <c:pt idx="20">
                    <c:v>3. sato</c:v>
                  </c:pt>
                  <c:pt idx="22">
                    <c:v>Rehuvilja yht.</c:v>
                  </c:pt>
                  <c:pt idx="23">
                    <c:v>Ohra</c:v>
                  </c:pt>
                  <c:pt idx="24">
                    <c:v>Kaura</c:v>
                  </c:pt>
                  <c:pt idx="25">
                    <c:v>Vehnä</c:v>
                  </c:pt>
                  <c:pt idx="26">
                    <c:v>Seosvilja</c:v>
                  </c:pt>
                  <c:pt idx="27">
                    <c:v>Sopimuspelloilta</c:v>
                  </c:pt>
                  <c:pt idx="29">
                    <c:v>Kokov.sr.yht.</c:v>
                  </c:pt>
                  <c:pt idx="30">
                    <c:v>Laakasiiloon</c:v>
                  </c:pt>
                  <c:pt idx="31">
                    <c:v>Pyöröpaaleihin</c:v>
                  </c:pt>
                  <c:pt idx="32">
                    <c:v>Umpilehmille</c:v>
                  </c:pt>
                  <c:pt idx="33">
                    <c:v>muu kokoviljasr</c:v>
                  </c:pt>
                  <c:pt idx="34">
                    <c:v>Sopimuspelloilta</c:v>
                  </c:pt>
                  <c:pt idx="36">
                    <c:v>Laidun yht.</c:v>
                  </c:pt>
                  <c:pt idx="37">
                    <c:v>Nurmilaidun</c:v>
                  </c:pt>
                  <c:pt idx="38">
                    <c:v>Pikalaidun</c:v>
                  </c:pt>
                  <c:pt idx="40">
                    <c:v>Luonnonlaidun</c:v>
                  </c:pt>
                  <c:pt idx="41">
                    <c:v>Sopimuspelloilta</c:v>
                  </c:pt>
                  <c:pt idx="43">
                    <c:v>Muut yht.</c:v>
                  </c:pt>
                  <c:pt idx="44">
                    <c:v>Kuivaheinä</c:v>
                  </c:pt>
                  <c:pt idx="45">
                    <c:v>Maissi</c:v>
                  </c:pt>
                  <c:pt idx="48">
                    <c:v>Sopimuspelloilta</c:v>
                  </c:pt>
                </c:lvl>
                <c:lvl>
                  <c:pt idx="2">
                    <c:v>Laakasiiloon</c:v>
                  </c:pt>
                  <c:pt idx="7">
                    <c:v>Pyöröpaaleihin</c:v>
                  </c:pt>
                  <c:pt idx="12">
                    <c:v>Umpilehmille</c:v>
                  </c:pt>
                  <c:pt idx="17">
                    <c:v>Sopimuspelloilta</c:v>
                  </c:pt>
                </c:lvl>
                <c:lvl>
                  <c:pt idx="0">
                    <c:v>Säilörehu</c:v>
                  </c:pt>
                  <c:pt idx="22">
                    <c:v>Rehuvilja</c:v>
                  </c:pt>
                  <c:pt idx="29">
                    <c:v>Kokoviljasäilörehu</c:v>
                  </c:pt>
                  <c:pt idx="36">
                    <c:v>Laidun</c:v>
                  </c:pt>
                  <c:pt idx="43">
                    <c:v>Muut korsirehut</c:v>
                  </c:pt>
                </c:lvl>
              </c:multiLvlStrCache>
            </c:multiLvlStrRef>
          </c:cat>
          <c:val>
            <c:numRef>
              <c:f>Rehuntuotanto!$D$7:$D$55</c:f>
              <c:numCache>
                <c:formatCode>General</c:formatCode>
                <c:ptCount val="49"/>
                <c:pt idx="3">
                  <c:v>0</c:v>
                </c:pt>
                <c:pt idx="4">
                  <c:v>0</c:v>
                </c:pt>
                <c:pt idx="5">
                  <c:v>0</c:v>
                </c:pt>
                <c:pt idx="8">
                  <c:v>0</c:v>
                </c:pt>
                <c:pt idx="9">
                  <c:v>0</c:v>
                </c:pt>
                <c:pt idx="10">
                  <c:v>0</c:v>
                </c:pt>
                <c:pt idx="13">
                  <c:v>0</c:v>
                </c:pt>
                <c:pt idx="14">
                  <c:v>0</c:v>
                </c:pt>
                <c:pt idx="15">
                  <c:v>0</c:v>
                </c:pt>
                <c:pt idx="18">
                  <c:v>0</c:v>
                </c:pt>
                <c:pt idx="19">
                  <c:v>0</c:v>
                </c:pt>
                <c:pt idx="20">
                  <c:v>0</c:v>
                </c:pt>
              </c:numCache>
            </c:numRef>
          </c:val>
          <c:extLst>
            <c:ext xmlns:c16="http://schemas.microsoft.com/office/drawing/2014/chart" uri="{C3380CC4-5D6E-409C-BE32-E72D297353CC}">
              <c16:uniqueId val="{00000001-12FC-4EEB-82CA-A25CB8E00E95}"/>
            </c:ext>
          </c:extLst>
        </c:ser>
        <c:ser>
          <c:idx val="2"/>
          <c:order val="2"/>
          <c:spPr>
            <a:solidFill>
              <a:schemeClr val="accent5">
                <a:tint val="65000"/>
              </a:schemeClr>
            </a:solidFill>
            <a:ln>
              <a:noFill/>
            </a:ln>
            <a:effectLst/>
          </c:spPr>
          <c:invertIfNegative val="0"/>
          <c:cat>
            <c:multiLvlStrRef>
              <c:f>Rehuntuotanto!$B$73:$D$121</c:f>
              <c:multiLvlStrCache>
                <c:ptCount val="49"/>
                <c:lvl>
                  <c:pt idx="0">
                    <c:v>Säilörehu yht.</c:v>
                  </c:pt>
                  <c:pt idx="2">
                    <c:v>yhteensä</c:v>
                  </c:pt>
                  <c:pt idx="3">
                    <c:v>1. sato</c:v>
                  </c:pt>
                  <c:pt idx="4">
                    <c:v>2. sato</c:v>
                  </c:pt>
                  <c:pt idx="5">
                    <c:v>3. sato</c:v>
                  </c:pt>
                  <c:pt idx="7">
                    <c:v>yhteensä</c:v>
                  </c:pt>
                  <c:pt idx="8">
                    <c:v>1. sato</c:v>
                  </c:pt>
                  <c:pt idx="9">
                    <c:v>2. sato</c:v>
                  </c:pt>
                  <c:pt idx="10">
                    <c:v>3. sato</c:v>
                  </c:pt>
                  <c:pt idx="12">
                    <c:v>yhteensä</c:v>
                  </c:pt>
                  <c:pt idx="13">
                    <c:v>1. sato</c:v>
                  </c:pt>
                  <c:pt idx="14">
                    <c:v>2. sato</c:v>
                  </c:pt>
                  <c:pt idx="15">
                    <c:v>3. sato</c:v>
                  </c:pt>
                  <c:pt idx="17">
                    <c:v>yhteensä</c:v>
                  </c:pt>
                  <c:pt idx="18">
                    <c:v>1. sato</c:v>
                  </c:pt>
                  <c:pt idx="19">
                    <c:v>2. sato</c:v>
                  </c:pt>
                  <c:pt idx="20">
                    <c:v>3. sato</c:v>
                  </c:pt>
                  <c:pt idx="22">
                    <c:v>Rehuvilja yht.</c:v>
                  </c:pt>
                  <c:pt idx="23">
                    <c:v>Ohra</c:v>
                  </c:pt>
                  <c:pt idx="24">
                    <c:v>Kaura</c:v>
                  </c:pt>
                  <c:pt idx="25">
                    <c:v>Vehnä</c:v>
                  </c:pt>
                  <c:pt idx="26">
                    <c:v>Seosvilja</c:v>
                  </c:pt>
                  <c:pt idx="27">
                    <c:v>Sopimuspelloilta</c:v>
                  </c:pt>
                  <c:pt idx="29">
                    <c:v>Kokov.sr.yht.</c:v>
                  </c:pt>
                  <c:pt idx="30">
                    <c:v>Laakasiiloon</c:v>
                  </c:pt>
                  <c:pt idx="31">
                    <c:v>Pyöröpaaleihin</c:v>
                  </c:pt>
                  <c:pt idx="32">
                    <c:v>Umpilehmille</c:v>
                  </c:pt>
                  <c:pt idx="33">
                    <c:v>muu kokoviljasr</c:v>
                  </c:pt>
                  <c:pt idx="34">
                    <c:v>Sopimuspelloilta</c:v>
                  </c:pt>
                  <c:pt idx="36">
                    <c:v>Laidun yht.</c:v>
                  </c:pt>
                  <c:pt idx="37">
                    <c:v>Nurmilaidun</c:v>
                  </c:pt>
                  <c:pt idx="38">
                    <c:v>Pikalaidun</c:v>
                  </c:pt>
                  <c:pt idx="40">
                    <c:v>Luonnonlaidun</c:v>
                  </c:pt>
                  <c:pt idx="41">
                    <c:v>Sopimuspelloilta</c:v>
                  </c:pt>
                  <c:pt idx="43">
                    <c:v>Muut yht.</c:v>
                  </c:pt>
                  <c:pt idx="44">
                    <c:v>Kuivaheinä</c:v>
                  </c:pt>
                  <c:pt idx="45">
                    <c:v>Maissi</c:v>
                  </c:pt>
                  <c:pt idx="48">
                    <c:v>Sopimuspelloilta</c:v>
                  </c:pt>
                </c:lvl>
                <c:lvl>
                  <c:pt idx="2">
                    <c:v>Laakasiiloon</c:v>
                  </c:pt>
                  <c:pt idx="7">
                    <c:v>Pyöröpaaleihin</c:v>
                  </c:pt>
                  <c:pt idx="12">
                    <c:v>Umpilehmille</c:v>
                  </c:pt>
                  <c:pt idx="17">
                    <c:v>Sopimuspelloilta</c:v>
                  </c:pt>
                </c:lvl>
                <c:lvl>
                  <c:pt idx="0">
                    <c:v>Säilörehu</c:v>
                  </c:pt>
                  <c:pt idx="22">
                    <c:v>Rehuvilja</c:v>
                  </c:pt>
                  <c:pt idx="29">
                    <c:v>Kokoviljasäilörehu</c:v>
                  </c:pt>
                  <c:pt idx="36">
                    <c:v>Laidun</c:v>
                  </c:pt>
                  <c:pt idx="43">
                    <c:v>Muut korsirehut</c:v>
                  </c:pt>
                </c:lvl>
              </c:multiLvlStrCache>
            </c:multiLvlStrRef>
          </c:cat>
          <c:val>
            <c:numRef>
              <c:f>Rehuntuotanto!$K$7:$K$55</c:f>
              <c:numCache>
                <c:formatCode>General</c:formatCode>
                <c:ptCount val="49"/>
                <c:pt idx="0" formatCode="#,##0">
                  <c:v>107980</c:v>
                </c:pt>
                <c:pt idx="2" formatCode="#,##0">
                  <c:v>107980</c:v>
                </c:pt>
                <c:pt idx="3" formatCode="#,##0">
                  <c:v>71680</c:v>
                </c:pt>
                <c:pt idx="4" formatCode="#,##0">
                  <c:v>36300</c:v>
                </c:pt>
                <c:pt idx="5" formatCode="#,##0">
                  <c:v>0</c:v>
                </c:pt>
                <c:pt idx="7" formatCode="#,##0">
                  <c:v>0</c:v>
                </c:pt>
                <c:pt idx="8" formatCode="#,##0">
                  <c:v>0</c:v>
                </c:pt>
                <c:pt idx="9" formatCode="#,##0">
                  <c:v>0</c:v>
                </c:pt>
                <c:pt idx="10" formatCode="#,##0">
                  <c:v>0</c:v>
                </c:pt>
                <c:pt idx="12" formatCode="#,##0">
                  <c:v>0</c:v>
                </c:pt>
                <c:pt idx="13" formatCode="#,##0">
                  <c:v>0</c:v>
                </c:pt>
                <c:pt idx="14" formatCode="#,##0">
                  <c:v>0</c:v>
                </c:pt>
                <c:pt idx="15" formatCode="#,##0">
                  <c:v>0</c:v>
                </c:pt>
                <c:pt idx="17" formatCode="#,##0">
                  <c:v>0</c:v>
                </c:pt>
                <c:pt idx="18" formatCode="#,##0">
                  <c:v>0</c:v>
                </c:pt>
                <c:pt idx="19" formatCode="#,##0">
                  <c:v>0</c:v>
                </c:pt>
                <c:pt idx="20" formatCode="#,##0">
                  <c:v>0</c:v>
                </c:pt>
                <c:pt idx="21">
                  <c:v>0</c:v>
                </c:pt>
                <c:pt idx="22" formatCode="#,##0">
                  <c:v>0</c:v>
                </c:pt>
                <c:pt idx="23" formatCode="#,##0">
                  <c:v>40549</c:v>
                </c:pt>
                <c:pt idx="24" formatCode="#,##0">
                  <c:v>32206.999999999996</c:v>
                </c:pt>
                <c:pt idx="25" formatCode="#,##0">
                  <c:v>0</c:v>
                </c:pt>
                <c:pt idx="26" formatCode="#,##0">
                  <c:v>0</c:v>
                </c:pt>
                <c:pt idx="27" formatCode="#,##0">
                  <c:v>0</c:v>
                </c:pt>
                <c:pt idx="28">
                  <c:v>0</c:v>
                </c:pt>
                <c:pt idx="29" formatCode="#,##0">
                  <c:v>0</c:v>
                </c:pt>
                <c:pt idx="30" formatCode="#,##0">
                  <c:v>51975</c:v>
                </c:pt>
                <c:pt idx="31" formatCode="#,##0">
                  <c:v>0</c:v>
                </c:pt>
                <c:pt idx="32" formatCode="#,##0">
                  <c:v>0</c:v>
                </c:pt>
                <c:pt idx="33" formatCode="#,##0">
                  <c:v>0</c:v>
                </c:pt>
                <c:pt idx="34" formatCode="#,##0">
                  <c:v>0</c:v>
                </c:pt>
                <c:pt idx="35">
                  <c:v>0</c:v>
                </c:pt>
                <c:pt idx="36" formatCode="#,##0">
                  <c:v>22000</c:v>
                </c:pt>
                <c:pt idx="37" formatCode="#,##0">
                  <c:v>22000</c:v>
                </c:pt>
                <c:pt idx="38" formatCode="#,##0">
                  <c:v>0</c:v>
                </c:pt>
                <c:pt idx="39" formatCode="#,##0">
                  <c:v>0</c:v>
                </c:pt>
                <c:pt idx="40" formatCode="#,##0">
                  <c:v>0</c:v>
                </c:pt>
                <c:pt idx="41" formatCode="#,##0">
                  <c:v>0</c:v>
                </c:pt>
                <c:pt idx="42">
                  <c:v>0</c:v>
                </c:pt>
                <c:pt idx="43" formatCode="#,##0">
                  <c:v>45150</c:v>
                </c:pt>
                <c:pt idx="44" formatCode="#,##0">
                  <c:v>45150</c:v>
                </c:pt>
                <c:pt idx="45" formatCode="#,##0">
                  <c:v>0</c:v>
                </c:pt>
                <c:pt idx="46" formatCode="#,##0">
                  <c:v>0</c:v>
                </c:pt>
                <c:pt idx="47" formatCode="#,##0">
                  <c:v>0</c:v>
                </c:pt>
                <c:pt idx="48" formatCode="#,##0">
                  <c:v>0</c:v>
                </c:pt>
              </c:numCache>
            </c:numRef>
          </c:val>
          <c:extLst>
            <c:ext xmlns:c16="http://schemas.microsoft.com/office/drawing/2014/chart" uri="{C3380CC4-5D6E-409C-BE32-E72D297353CC}">
              <c16:uniqueId val="{00000002-12FC-4EEB-82CA-A25CB8E00E95}"/>
            </c:ext>
          </c:extLst>
        </c:ser>
        <c:dLbls>
          <c:showLegendKey val="0"/>
          <c:showVal val="0"/>
          <c:showCatName val="0"/>
          <c:showSerName val="0"/>
          <c:showPercent val="0"/>
          <c:showBubbleSize val="0"/>
        </c:dLbls>
        <c:gapWidth val="0"/>
        <c:overlap val="94"/>
        <c:axId val="749240104"/>
        <c:axId val="749241672"/>
      </c:barChart>
      <c:catAx>
        <c:axId val="7492401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fi-FI"/>
          </a:p>
        </c:txPr>
        <c:crossAx val="749241672"/>
        <c:crosses val="autoZero"/>
        <c:auto val="1"/>
        <c:lblAlgn val="ctr"/>
        <c:lblOffset val="100"/>
        <c:noMultiLvlLbl val="0"/>
      </c:catAx>
      <c:valAx>
        <c:axId val="74924167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crossAx val="749240104"/>
        <c:crossesAt val="1"/>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i-FI"/>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i-FI"/>
              <a:t>Säilörehun sato ja varastointihävikki, kg ka</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i-FI"/>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1231855864564244"/>
          <c:y val="0.17171296296296298"/>
          <c:w val="0.67451624812883049"/>
          <c:h val="0.77736111111111106"/>
        </c:manualLayout>
      </c:layout>
      <c:bar3DChart>
        <c:barDir val="col"/>
        <c:grouping val="stacked"/>
        <c:varyColors val="0"/>
        <c:ser>
          <c:idx val="0"/>
          <c:order val="0"/>
          <c:tx>
            <c:strRef>
              <c:f>'Rehun käyttö, nettosato'!$Q$14</c:f>
              <c:strCache>
                <c:ptCount val="1"/>
                <c:pt idx="0">
                  <c:v>Bruttosato</c:v>
                </c:pt>
              </c:strCache>
            </c:strRef>
          </c:tx>
          <c:spPr>
            <a:blipFill dpi="0" rotWithShape="1">
              <a:blip xmlns:r="http://schemas.openxmlformats.org/officeDocument/2006/relationships" r:embed="rId3">
                <a:extLst>
                  <a:ext uri="{28A0092B-C50C-407E-A947-70E740481C1C}">
                    <a14:useLocalDpi xmlns:a14="http://schemas.microsoft.com/office/drawing/2010/main" val="0"/>
                  </a:ext>
                </a:extLst>
              </a:blip>
              <a:srcRect/>
              <a:stretch>
                <a:fillRect/>
              </a:stretch>
            </a:blipFill>
            <a:ln>
              <a:noFill/>
            </a:ln>
            <a:effectLst/>
            <a:sp3d/>
          </c:spPr>
          <c:invertIfNegative val="0"/>
          <c:dPt>
            <c:idx val="0"/>
            <c:invertIfNegative val="0"/>
            <c:bubble3D val="0"/>
            <c:spPr>
              <a:blipFill dpi="0" rotWithShape="1">
                <a:blip xmlns:r="http://schemas.openxmlformats.org/officeDocument/2006/relationships" r:embed="rId3">
                  <a:extLst>
                    <a:ext uri="{28A0092B-C50C-407E-A947-70E740481C1C}">
                      <a14:useLocalDpi xmlns:a14="http://schemas.microsoft.com/office/drawing/2010/main" val="0"/>
                    </a:ext>
                  </a:extLst>
                </a:blip>
                <a:srcRect/>
                <a:stretch>
                  <a:fillRect/>
                </a:stretch>
              </a:blipFill>
              <a:ln>
                <a:solidFill>
                  <a:schemeClr val="accent6">
                    <a:lumMod val="75000"/>
                  </a:schemeClr>
                </a:solidFill>
              </a:ln>
              <a:effectLst/>
              <a:sp3d>
                <a:contourClr>
                  <a:schemeClr val="accent6">
                    <a:lumMod val="75000"/>
                  </a:schemeClr>
                </a:contourClr>
              </a:sp3d>
            </c:spPr>
            <c:extLst>
              <c:ext xmlns:c16="http://schemas.microsoft.com/office/drawing/2014/chart" uri="{C3380CC4-5D6E-409C-BE32-E72D297353CC}">
                <c16:uniqueId val="{00000001-552F-4989-854A-683D73501751}"/>
              </c:ext>
            </c:extLst>
          </c:dPt>
          <c:val>
            <c:numRef>
              <c:f>'Rehun käyttö, nettosato'!$R$14:$S$14</c:f>
              <c:numCache>
                <c:formatCode>General</c:formatCode>
                <c:ptCount val="2"/>
                <c:pt idx="0" formatCode="#,##0">
                  <c:v>9700</c:v>
                </c:pt>
              </c:numCache>
            </c:numRef>
          </c:val>
          <c:extLst>
            <c:ext xmlns:c16="http://schemas.microsoft.com/office/drawing/2014/chart" uri="{C3380CC4-5D6E-409C-BE32-E72D297353CC}">
              <c16:uniqueId val="{00000002-552F-4989-854A-683D73501751}"/>
            </c:ext>
          </c:extLst>
        </c:ser>
        <c:ser>
          <c:idx val="1"/>
          <c:order val="1"/>
          <c:tx>
            <c:strRef>
              <c:f>'Rehun käyttö, nettosato'!$Q$15</c:f>
              <c:strCache>
                <c:ptCount val="1"/>
                <c:pt idx="0">
                  <c:v>Nettosato</c:v>
                </c:pt>
              </c:strCache>
            </c:strRef>
          </c:tx>
          <c:spPr>
            <a:blipFill dpi="0" rotWithShape="1">
              <a:blip xmlns:r="http://schemas.openxmlformats.org/officeDocument/2006/relationships" r:embed="rId4">
                <a:extLst>
                  <a:ext uri="{28A0092B-C50C-407E-A947-70E740481C1C}">
                    <a14:useLocalDpi xmlns:a14="http://schemas.microsoft.com/office/drawing/2010/main" val="0"/>
                  </a:ext>
                </a:extLst>
              </a:blip>
              <a:srcRect/>
              <a:stretch>
                <a:fillRect/>
              </a:stretch>
            </a:blipFill>
            <a:ln>
              <a:noFill/>
            </a:ln>
            <a:effectLst/>
            <a:sp3d/>
          </c:spPr>
          <c:invertIfNegative val="0"/>
          <c:val>
            <c:numRef>
              <c:f>'Rehun käyttö, nettosato'!$R$15:$S$15</c:f>
              <c:numCache>
                <c:formatCode>#,##0</c:formatCode>
                <c:ptCount val="2"/>
                <c:pt idx="1">
                  <c:v>8200</c:v>
                </c:pt>
              </c:numCache>
            </c:numRef>
          </c:val>
          <c:extLst>
            <c:ext xmlns:c16="http://schemas.microsoft.com/office/drawing/2014/chart" uri="{C3380CC4-5D6E-409C-BE32-E72D297353CC}">
              <c16:uniqueId val="{00000003-552F-4989-854A-683D73501751}"/>
            </c:ext>
          </c:extLst>
        </c:ser>
        <c:ser>
          <c:idx val="2"/>
          <c:order val="2"/>
          <c:tx>
            <c:strRef>
              <c:f>'Rehun käyttö, nettosato'!$Q$16</c:f>
              <c:strCache>
                <c:ptCount val="1"/>
                <c:pt idx="0">
                  <c:v>Hävikki</c:v>
                </c:pt>
              </c:strCache>
            </c:strRef>
          </c:tx>
          <c:spPr>
            <a:solidFill>
              <a:schemeClr val="accent4">
                <a:lumMod val="60000"/>
                <a:lumOff val="40000"/>
              </a:schemeClr>
            </a:solidFill>
            <a:ln>
              <a:noFill/>
            </a:ln>
            <a:effectLst/>
            <a:sp3d/>
          </c:spPr>
          <c:invertIfNegative val="0"/>
          <c:val>
            <c:numRef>
              <c:f>'Rehun käyttö, nettosato'!$R$16:$S$16</c:f>
              <c:numCache>
                <c:formatCode>#,##0</c:formatCode>
                <c:ptCount val="2"/>
                <c:pt idx="1">
                  <c:v>1500</c:v>
                </c:pt>
              </c:numCache>
            </c:numRef>
          </c:val>
          <c:extLst>
            <c:ext xmlns:c16="http://schemas.microsoft.com/office/drawing/2014/chart" uri="{C3380CC4-5D6E-409C-BE32-E72D297353CC}">
              <c16:uniqueId val="{00000004-552F-4989-854A-683D73501751}"/>
            </c:ext>
          </c:extLst>
        </c:ser>
        <c:dLbls>
          <c:showLegendKey val="0"/>
          <c:showVal val="0"/>
          <c:showCatName val="0"/>
          <c:showSerName val="0"/>
          <c:showPercent val="0"/>
          <c:showBubbleSize val="0"/>
        </c:dLbls>
        <c:gapWidth val="150"/>
        <c:shape val="box"/>
        <c:axId val="749238928"/>
        <c:axId val="749239320"/>
        <c:axId val="0"/>
      </c:bar3DChart>
      <c:catAx>
        <c:axId val="749238928"/>
        <c:scaling>
          <c:orientation val="minMax"/>
        </c:scaling>
        <c:delete val="1"/>
        <c:axPos val="b"/>
        <c:numFmt formatCode="General" sourceLinked="1"/>
        <c:majorTickMark val="none"/>
        <c:minorTickMark val="none"/>
        <c:tickLblPos val="nextTo"/>
        <c:crossAx val="749239320"/>
        <c:crosses val="autoZero"/>
        <c:auto val="1"/>
        <c:lblAlgn val="ctr"/>
        <c:lblOffset val="100"/>
        <c:noMultiLvlLbl val="0"/>
      </c:catAx>
      <c:valAx>
        <c:axId val="74923932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crossAx val="749238928"/>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i-FI"/>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r>
              <a:rPr lang="en-US" sz="1100"/>
              <a:t>Vaikutus maidontuotanto-kustannukseen snt/kg</a:t>
            </a:r>
          </a:p>
        </c:rich>
      </c:tx>
      <c:layout>
        <c:manualLayout>
          <c:xMode val="edge"/>
          <c:yMode val="edge"/>
          <c:x val="0.10109475446004032"/>
          <c:y val="1.0355993388472883E-2"/>
        </c:manualLayout>
      </c:layout>
      <c:overlay val="0"/>
      <c:spPr>
        <a:noFill/>
        <a:ln>
          <a:noFill/>
        </a:ln>
        <a:effectLst/>
      </c:spPr>
      <c:txPr>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endParaRPr lang="fi-FI"/>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14385940887823806"/>
          <c:y val="0.15461498128990014"/>
          <c:w val="0.83037569579164927"/>
          <c:h val="0.68419479705106967"/>
        </c:manualLayout>
      </c:layout>
      <c:bar3DChart>
        <c:barDir val="col"/>
        <c:grouping val="stacked"/>
        <c:varyColors val="0"/>
        <c:ser>
          <c:idx val="0"/>
          <c:order val="0"/>
          <c:spPr>
            <a:blipFill dpi="0" rotWithShape="1">
              <a:blip xmlns:r="http://schemas.openxmlformats.org/officeDocument/2006/relationships" r:embed="rId3">
                <a:extLst>
                  <a:ext uri="{28A0092B-C50C-407E-A947-70E740481C1C}">
                    <a14:useLocalDpi xmlns:a14="http://schemas.microsoft.com/office/drawing/2010/main" val="0"/>
                  </a:ext>
                </a:extLst>
              </a:blip>
              <a:srcRect/>
              <a:stretch>
                <a:fillRect/>
              </a:stretch>
            </a:blipFill>
            <a:ln>
              <a:noFill/>
            </a:ln>
            <a:effectLst/>
            <a:sp3d/>
          </c:spPr>
          <c:invertIfNegative val="0"/>
          <c:dLbls>
            <c:dLbl>
              <c:idx val="0"/>
              <c:layout>
                <c:manualLayout>
                  <c:x val="0"/>
                  <c:y val="-0.1398059107443839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E47-4CD1-8AF0-C77FAF487C14}"/>
                </c:ext>
              </c:extLst>
            </c:dLbl>
            <c:dLbl>
              <c:idx val="1"/>
              <c:layout>
                <c:manualLayout>
                  <c:x val="1.2882447665056361E-2"/>
                  <c:y val="-0.23300985124063986"/>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E47-4CD1-8AF0-C77FAF487C14}"/>
                </c:ext>
              </c:extLst>
            </c:dLbl>
            <c:dLbl>
              <c:idx val="2"/>
              <c:layout>
                <c:manualLayout>
                  <c:x val="1.932367149758454E-2"/>
                  <c:y val="-0.32621379173689585"/>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E47-4CD1-8AF0-C77FAF487C14}"/>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i-FI"/>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'Rehun käyttö, nettosato'!$M$45:$M$47</c:f>
              <c:numCache>
                <c:formatCode>General</c:formatCode>
                <c:ptCount val="3"/>
              </c:numCache>
            </c:numRef>
          </c:cat>
          <c:val>
            <c:numRef>
              <c:f>'Rehun käyttö, nettosato'!$N$45:$N$47</c:f>
              <c:numCache>
                <c:formatCode>General</c:formatCode>
                <c:ptCount val="3"/>
              </c:numCache>
            </c:numRef>
          </c:val>
          <c:extLst>
            <c:ext xmlns:c16="http://schemas.microsoft.com/office/drawing/2014/chart" uri="{C3380CC4-5D6E-409C-BE32-E72D297353CC}">
              <c16:uniqueId val="{00000003-1E47-4CD1-8AF0-C77FAF487C14}"/>
            </c:ext>
          </c:extLst>
        </c:ser>
        <c:dLbls>
          <c:showLegendKey val="0"/>
          <c:showVal val="1"/>
          <c:showCatName val="0"/>
          <c:showSerName val="0"/>
          <c:showPercent val="0"/>
          <c:showBubbleSize val="0"/>
        </c:dLbls>
        <c:gapWidth val="150"/>
        <c:shape val="box"/>
        <c:axId val="527304696"/>
        <c:axId val="527304304"/>
        <c:axId val="0"/>
      </c:bar3DChart>
      <c:catAx>
        <c:axId val="527304696"/>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fi-FI"/>
                  <a:t>säilörehuntuot.kustannukset</a:t>
                </a:r>
              </a:p>
            </c:rich>
          </c:tx>
          <c:layout>
            <c:manualLayout>
              <c:xMode val="edge"/>
              <c:yMode val="edge"/>
              <c:x val="0.11165328971559715"/>
              <c:y val="0.90336322161523086"/>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crossAx val="527304304"/>
        <c:crosses val="autoZero"/>
        <c:auto val="1"/>
        <c:lblAlgn val="ctr"/>
        <c:lblOffset val="100"/>
        <c:noMultiLvlLbl val="0"/>
      </c:catAx>
      <c:valAx>
        <c:axId val="52730430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crossAx val="52730469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i-FI"/>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i-FI"/>
              <a:t>Säilörehun sato ja varastointihävikki, kg ka</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i-FI"/>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1231855864564244"/>
          <c:y val="0.17171296296296298"/>
          <c:w val="0.67451624812883049"/>
          <c:h val="0.77736111111111106"/>
        </c:manualLayout>
      </c:layout>
      <c:bar3DChart>
        <c:barDir val="col"/>
        <c:grouping val="stacked"/>
        <c:varyColors val="0"/>
        <c:ser>
          <c:idx val="0"/>
          <c:order val="0"/>
          <c:tx>
            <c:strRef>
              <c:f>'Rehun käyttö, nettosato'!$Q$14</c:f>
              <c:strCache>
                <c:ptCount val="1"/>
                <c:pt idx="0">
                  <c:v>Bruttosato</c:v>
                </c:pt>
              </c:strCache>
            </c:strRef>
          </c:tx>
          <c:spPr>
            <a:blipFill dpi="0" rotWithShape="1">
              <a:blip xmlns:r="http://schemas.openxmlformats.org/officeDocument/2006/relationships" r:embed="rId3">
                <a:extLst>
                  <a:ext uri="{28A0092B-C50C-407E-A947-70E740481C1C}">
                    <a14:useLocalDpi xmlns:a14="http://schemas.microsoft.com/office/drawing/2010/main" val="0"/>
                  </a:ext>
                </a:extLst>
              </a:blip>
              <a:srcRect/>
              <a:stretch>
                <a:fillRect/>
              </a:stretch>
            </a:blipFill>
            <a:ln>
              <a:noFill/>
            </a:ln>
            <a:effectLst/>
            <a:sp3d/>
          </c:spPr>
          <c:invertIfNegative val="0"/>
          <c:dPt>
            <c:idx val="0"/>
            <c:invertIfNegative val="0"/>
            <c:bubble3D val="0"/>
            <c:spPr>
              <a:blipFill dpi="0" rotWithShape="1">
                <a:blip xmlns:r="http://schemas.openxmlformats.org/officeDocument/2006/relationships" r:embed="rId3">
                  <a:extLst>
                    <a:ext uri="{28A0092B-C50C-407E-A947-70E740481C1C}">
                      <a14:useLocalDpi xmlns:a14="http://schemas.microsoft.com/office/drawing/2010/main" val="0"/>
                    </a:ext>
                  </a:extLst>
                </a:blip>
                <a:srcRect/>
                <a:stretch>
                  <a:fillRect/>
                </a:stretch>
              </a:blipFill>
              <a:ln>
                <a:solidFill>
                  <a:schemeClr val="accent6">
                    <a:lumMod val="75000"/>
                  </a:schemeClr>
                </a:solidFill>
              </a:ln>
              <a:effectLst/>
              <a:sp3d>
                <a:contourClr>
                  <a:schemeClr val="accent6">
                    <a:lumMod val="75000"/>
                  </a:schemeClr>
                </a:contourClr>
              </a:sp3d>
            </c:spPr>
            <c:extLst>
              <c:ext xmlns:c16="http://schemas.microsoft.com/office/drawing/2014/chart" uri="{C3380CC4-5D6E-409C-BE32-E72D297353CC}">
                <c16:uniqueId val="{00000001-552F-4989-854A-683D73501751}"/>
              </c:ext>
            </c:extLst>
          </c:dPt>
          <c:val>
            <c:numRef>
              <c:f>'Rehun käyttö, nettosato'!$R$14:$S$14</c:f>
              <c:numCache>
                <c:formatCode>General</c:formatCode>
                <c:ptCount val="2"/>
                <c:pt idx="0" formatCode="#,##0">
                  <c:v>9700</c:v>
                </c:pt>
              </c:numCache>
            </c:numRef>
          </c:val>
          <c:extLst>
            <c:ext xmlns:c16="http://schemas.microsoft.com/office/drawing/2014/chart" uri="{C3380CC4-5D6E-409C-BE32-E72D297353CC}">
              <c16:uniqueId val="{00000002-552F-4989-854A-683D73501751}"/>
            </c:ext>
          </c:extLst>
        </c:ser>
        <c:ser>
          <c:idx val="1"/>
          <c:order val="1"/>
          <c:tx>
            <c:strRef>
              <c:f>'Rehun käyttö, nettosato'!$Q$15</c:f>
              <c:strCache>
                <c:ptCount val="1"/>
                <c:pt idx="0">
                  <c:v>Nettosato</c:v>
                </c:pt>
              </c:strCache>
            </c:strRef>
          </c:tx>
          <c:spPr>
            <a:blipFill dpi="0" rotWithShape="1">
              <a:blip xmlns:r="http://schemas.openxmlformats.org/officeDocument/2006/relationships" r:embed="rId4">
                <a:extLst>
                  <a:ext uri="{28A0092B-C50C-407E-A947-70E740481C1C}">
                    <a14:useLocalDpi xmlns:a14="http://schemas.microsoft.com/office/drawing/2010/main" val="0"/>
                  </a:ext>
                </a:extLst>
              </a:blip>
              <a:srcRect/>
              <a:stretch>
                <a:fillRect/>
              </a:stretch>
            </a:blipFill>
            <a:ln>
              <a:noFill/>
            </a:ln>
            <a:effectLst/>
            <a:sp3d/>
          </c:spPr>
          <c:invertIfNegative val="0"/>
          <c:val>
            <c:numRef>
              <c:f>'Rehun käyttö, nettosato'!$R$15:$S$15</c:f>
              <c:numCache>
                <c:formatCode>#,##0</c:formatCode>
                <c:ptCount val="2"/>
                <c:pt idx="1">
                  <c:v>8200</c:v>
                </c:pt>
              </c:numCache>
            </c:numRef>
          </c:val>
          <c:extLst>
            <c:ext xmlns:c16="http://schemas.microsoft.com/office/drawing/2014/chart" uri="{C3380CC4-5D6E-409C-BE32-E72D297353CC}">
              <c16:uniqueId val="{00000003-552F-4989-854A-683D73501751}"/>
            </c:ext>
          </c:extLst>
        </c:ser>
        <c:ser>
          <c:idx val="2"/>
          <c:order val="2"/>
          <c:tx>
            <c:strRef>
              <c:f>'Rehun käyttö, nettosato'!$Q$16</c:f>
              <c:strCache>
                <c:ptCount val="1"/>
                <c:pt idx="0">
                  <c:v>Hävikki</c:v>
                </c:pt>
              </c:strCache>
            </c:strRef>
          </c:tx>
          <c:spPr>
            <a:solidFill>
              <a:schemeClr val="accent4">
                <a:lumMod val="60000"/>
                <a:lumOff val="40000"/>
              </a:schemeClr>
            </a:solidFill>
            <a:ln>
              <a:noFill/>
            </a:ln>
            <a:effectLst/>
            <a:sp3d/>
          </c:spPr>
          <c:invertIfNegative val="0"/>
          <c:val>
            <c:numRef>
              <c:f>'Rehun käyttö, nettosato'!$R$16:$S$16</c:f>
              <c:numCache>
                <c:formatCode>#,##0</c:formatCode>
                <c:ptCount val="2"/>
                <c:pt idx="1">
                  <c:v>1500</c:v>
                </c:pt>
              </c:numCache>
            </c:numRef>
          </c:val>
          <c:extLst>
            <c:ext xmlns:c16="http://schemas.microsoft.com/office/drawing/2014/chart" uri="{C3380CC4-5D6E-409C-BE32-E72D297353CC}">
              <c16:uniqueId val="{00000004-552F-4989-854A-683D73501751}"/>
            </c:ext>
          </c:extLst>
        </c:ser>
        <c:dLbls>
          <c:showLegendKey val="0"/>
          <c:showVal val="0"/>
          <c:showCatName val="0"/>
          <c:showSerName val="0"/>
          <c:showPercent val="0"/>
          <c:showBubbleSize val="0"/>
        </c:dLbls>
        <c:gapWidth val="150"/>
        <c:shape val="box"/>
        <c:axId val="527305872"/>
        <c:axId val="527300776"/>
        <c:axId val="0"/>
      </c:bar3DChart>
      <c:catAx>
        <c:axId val="527305872"/>
        <c:scaling>
          <c:orientation val="minMax"/>
        </c:scaling>
        <c:delete val="1"/>
        <c:axPos val="b"/>
        <c:numFmt formatCode="General" sourceLinked="1"/>
        <c:majorTickMark val="none"/>
        <c:minorTickMark val="none"/>
        <c:tickLblPos val="nextTo"/>
        <c:crossAx val="527300776"/>
        <c:crosses val="autoZero"/>
        <c:auto val="1"/>
        <c:lblAlgn val="ctr"/>
        <c:lblOffset val="100"/>
        <c:noMultiLvlLbl val="0"/>
      </c:catAx>
      <c:valAx>
        <c:axId val="52730077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crossAx val="527305872"/>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i-FI"/>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000" b="0" i="0" u="none" strike="noStrike" kern="1200" spc="0" baseline="0">
                <a:solidFill>
                  <a:schemeClr val="tx1">
                    <a:lumMod val="65000"/>
                    <a:lumOff val="35000"/>
                  </a:schemeClr>
                </a:solidFill>
                <a:latin typeface="+mn-lt"/>
                <a:ea typeface="+mn-ea"/>
                <a:cs typeface="+mn-cs"/>
              </a:defRPr>
            </a:pPr>
            <a:r>
              <a:rPr lang="fi-FI" sz="2000"/>
              <a:t>Säilörehun tuotantokustannuksen jakautuminen</a:t>
            </a:r>
          </a:p>
        </c:rich>
      </c:tx>
      <c:layout>
        <c:manualLayout>
          <c:xMode val="edge"/>
          <c:yMode val="edge"/>
          <c:x val="0.15039351851851851"/>
          <c:y val="1.0101010101010102E-2"/>
        </c:manualLayout>
      </c:layout>
      <c:overlay val="0"/>
      <c:spPr>
        <a:noFill/>
        <a:ln>
          <a:noFill/>
        </a:ln>
        <a:effectLst/>
      </c:spPr>
      <c:txPr>
        <a:bodyPr rot="0" spcFirstLastPara="1" vertOverflow="ellipsis" vert="horz" wrap="square" anchor="ctr" anchorCtr="1"/>
        <a:lstStyle/>
        <a:p>
          <a:pPr>
            <a:defRPr sz="2000" b="0" i="0" u="none" strike="noStrike" kern="1200" spc="0" baseline="0">
              <a:solidFill>
                <a:schemeClr val="tx1">
                  <a:lumMod val="65000"/>
                  <a:lumOff val="35000"/>
                </a:schemeClr>
              </a:solidFill>
              <a:latin typeface="+mn-lt"/>
              <a:ea typeface="+mn-ea"/>
              <a:cs typeface="+mn-cs"/>
            </a:defRPr>
          </a:pPr>
          <a:endParaRPr lang="fi-FI"/>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11706690578268464"/>
          <c:y val="0.23239667011320556"/>
          <c:w val="0.6994367696920446"/>
          <c:h val="0.61631777088469997"/>
        </c:manualLayout>
      </c:layout>
      <c:pie3DChart>
        <c:varyColors val="1"/>
        <c:ser>
          <c:idx val="0"/>
          <c:order val="0"/>
          <c:dPt>
            <c:idx val="0"/>
            <c:bubble3D val="0"/>
            <c:spPr>
              <a:solidFill>
                <a:schemeClr val="accent1"/>
              </a:solidFill>
              <a:ln w="25400">
                <a:solidFill>
                  <a:schemeClr val="lt1"/>
                </a:solidFill>
              </a:ln>
              <a:effectLst/>
              <a:sp3d contourW="25400">
                <a:contourClr>
                  <a:schemeClr val="lt1"/>
                </a:contourClr>
              </a:sp3d>
            </c:spPr>
            <c:extLst>
              <c:ext xmlns:c16="http://schemas.microsoft.com/office/drawing/2014/chart" uri="{C3380CC4-5D6E-409C-BE32-E72D297353CC}">
                <c16:uniqueId val="{00000001-F4CB-4DC9-88D2-4C2FD52E1377}"/>
              </c:ext>
            </c:extLst>
          </c:dPt>
          <c:dPt>
            <c:idx val="1"/>
            <c:bubble3D val="0"/>
            <c:spPr>
              <a:solidFill>
                <a:schemeClr val="accent2"/>
              </a:solidFill>
              <a:ln w="25400">
                <a:solidFill>
                  <a:schemeClr val="lt1"/>
                </a:solidFill>
              </a:ln>
              <a:effectLst/>
              <a:sp3d contourW="25400">
                <a:contourClr>
                  <a:schemeClr val="lt1"/>
                </a:contourClr>
              </a:sp3d>
            </c:spPr>
            <c:extLst>
              <c:ext xmlns:c16="http://schemas.microsoft.com/office/drawing/2014/chart" uri="{C3380CC4-5D6E-409C-BE32-E72D297353CC}">
                <c16:uniqueId val="{00000003-F4CB-4DC9-88D2-4C2FD52E1377}"/>
              </c:ext>
            </c:extLst>
          </c:dPt>
          <c:dPt>
            <c:idx val="2"/>
            <c:bubble3D val="0"/>
            <c:spPr>
              <a:solidFill>
                <a:schemeClr val="accent3"/>
              </a:solidFill>
              <a:ln w="25400">
                <a:solidFill>
                  <a:schemeClr val="lt1"/>
                </a:solidFill>
              </a:ln>
              <a:effectLst/>
              <a:sp3d contourW="25400">
                <a:contourClr>
                  <a:schemeClr val="lt1"/>
                </a:contourClr>
              </a:sp3d>
            </c:spPr>
            <c:extLst>
              <c:ext xmlns:c16="http://schemas.microsoft.com/office/drawing/2014/chart" uri="{C3380CC4-5D6E-409C-BE32-E72D297353CC}">
                <c16:uniqueId val="{00000005-F4CB-4DC9-88D2-4C2FD52E1377}"/>
              </c:ext>
            </c:extLst>
          </c:dPt>
          <c:dPt>
            <c:idx val="3"/>
            <c:bubble3D val="0"/>
            <c:spPr>
              <a:solidFill>
                <a:schemeClr val="accent4"/>
              </a:solidFill>
              <a:ln w="25400">
                <a:solidFill>
                  <a:schemeClr val="lt1"/>
                </a:solidFill>
              </a:ln>
              <a:effectLst/>
              <a:sp3d contourW="25400">
                <a:contourClr>
                  <a:schemeClr val="lt1"/>
                </a:contourClr>
              </a:sp3d>
            </c:spPr>
            <c:extLst>
              <c:ext xmlns:c16="http://schemas.microsoft.com/office/drawing/2014/chart" uri="{C3380CC4-5D6E-409C-BE32-E72D297353CC}">
                <c16:uniqueId val="{00000007-F4CB-4DC9-88D2-4C2FD52E1377}"/>
              </c:ext>
            </c:extLst>
          </c:dPt>
          <c:dPt>
            <c:idx val="4"/>
            <c:bubble3D val="0"/>
            <c:spPr>
              <a:solidFill>
                <a:schemeClr val="accent5"/>
              </a:solidFill>
              <a:ln w="25400">
                <a:solidFill>
                  <a:schemeClr val="lt1"/>
                </a:solidFill>
              </a:ln>
              <a:effectLst/>
              <a:sp3d contourW="25400">
                <a:contourClr>
                  <a:schemeClr val="lt1"/>
                </a:contourClr>
              </a:sp3d>
            </c:spPr>
            <c:extLst>
              <c:ext xmlns:c16="http://schemas.microsoft.com/office/drawing/2014/chart" uri="{C3380CC4-5D6E-409C-BE32-E72D297353CC}">
                <c16:uniqueId val="{00000009-F4CB-4DC9-88D2-4C2FD52E1377}"/>
              </c:ext>
            </c:extLst>
          </c:dPt>
          <c:dPt>
            <c:idx val="5"/>
            <c:bubble3D val="0"/>
            <c:spPr>
              <a:solidFill>
                <a:schemeClr val="accent6"/>
              </a:solidFill>
              <a:ln w="25400">
                <a:solidFill>
                  <a:schemeClr val="lt1"/>
                </a:solidFill>
              </a:ln>
              <a:effectLst/>
              <a:sp3d contourW="25400">
                <a:contourClr>
                  <a:schemeClr val="lt1"/>
                </a:contourClr>
              </a:sp3d>
            </c:spPr>
            <c:extLst>
              <c:ext xmlns:c16="http://schemas.microsoft.com/office/drawing/2014/chart" uri="{C3380CC4-5D6E-409C-BE32-E72D297353CC}">
                <c16:uniqueId val="{0000000B-F4CB-4DC9-88D2-4C2FD52E1377}"/>
              </c:ext>
            </c:extLst>
          </c:dPt>
          <c:dPt>
            <c:idx val="6"/>
            <c:bubble3D val="0"/>
            <c:spPr>
              <a:solidFill>
                <a:schemeClr val="accent1">
                  <a:lumMod val="6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D-F4CB-4DC9-88D2-4C2FD52E1377}"/>
              </c:ext>
            </c:extLst>
          </c:dPt>
          <c:dPt>
            <c:idx val="7"/>
            <c:bubble3D val="0"/>
            <c:spPr>
              <a:solidFill>
                <a:schemeClr val="accent2">
                  <a:lumMod val="6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F-F4CB-4DC9-88D2-4C2FD52E1377}"/>
              </c:ext>
            </c:extLst>
          </c:dPt>
          <c:dPt>
            <c:idx val="8"/>
            <c:bubble3D val="0"/>
            <c:spPr>
              <a:solidFill>
                <a:schemeClr val="accent3">
                  <a:lumMod val="6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11-F4CB-4DC9-88D2-4C2FD52E1377}"/>
              </c:ext>
            </c:extLst>
          </c:dPt>
          <c:dPt>
            <c:idx val="9"/>
            <c:bubble3D val="0"/>
            <c:spPr>
              <a:solidFill>
                <a:schemeClr val="accent4">
                  <a:lumMod val="6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13-F4CB-4DC9-88D2-4C2FD52E1377}"/>
              </c:ext>
            </c:extLst>
          </c:dPt>
          <c:dPt>
            <c:idx val="10"/>
            <c:bubble3D val="0"/>
            <c:spPr>
              <a:solidFill>
                <a:schemeClr val="accent5">
                  <a:lumMod val="6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15-F4CB-4DC9-88D2-4C2FD52E1377}"/>
              </c:ext>
            </c:extLst>
          </c:dPt>
          <c:dPt>
            <c:idx val="11"/>
            <c:bubble3D val="0"/>
            <c:spPr>
              <a:solidFill>
                <a:schemeClr val="accent6">
                  <a:lumMod val="6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17-F4CB-4DC9-88D2-4C2FD52E1377}"/>
              </c:ext>
            </c:extLst>
          </c:dPt>
          <c:dPt>
            <c:idx val="12"/>
            <c:bubble3D val="0"/>
            <c:spPr>
              <a:solidFill>
                <a:schemeClr val="accent1">
                  <a:lumMod val="80000"/>
                  <a:lumOff val="2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19-F4CB-4DC9-88D2-4C2FD52E1377}"/>
              </c:ext>
            </c:extLst>
          </c:dPt>
          <c:dPt>
            <c:idx val="13"/>
            <c:bubble3D val="0"/>
            <c:spPr>
              <a:solidFill>
                <a:schemeClr val="accent2">
                  <a:lumMod val="80000"/>
                  <a:lumOff val="2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1B-F4CB-4DC9-88D2-4C2FD52E1377}"/>
              </c:ext>
            </c:extLst>
          </c:dPt>
          <c:dPt>
            <c:idx val="14"/>
            <c:bubble3D val="0"/>
            <c:spPr>
              <a:solidFill>
                <a:schemeClr val="accent3">
                  <a:lumMod val="80000"/>
                  <a:lumOff val="2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1D-F4CB-4DC9-88D2-4C2FD52E1377}"/>
              </c:ext>
            </c:extLst>
          </c:dPt>
          <c:dPt>
            <c:idx val="15"/>
            <c:bubble3D val="0"/>
            <c:spPr>
              <a:solidFill>
                <a:schemeClr val="accent4">
                  <a:lumMod val="80000"/>
                  <a:lumOff val="2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1F-F4CB-4DC9-88D2-4C2FD52E1377}"/>
              </c:ext>
            </c:extLst>
          </c:dPt>
          <c:dPt>
            <c:idx val="16"/>
            <c:bubble3D val="0"/>
            <c:spPr>
              <a:solidFill>
                <a:schemeClr val="accent5">
                  <a:lumMod val="80000"/>
                  <a:lumOff val="2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21-F4CB-4DC9-88D2-4C2FD52E1377}"/>
              </c:ext>
            </c:extLst>
          </c:dPt>
          <c:dLbls>
            <c:dLbl>
              <c:idx val="0"/>
              <c:layout>
                <c:manualLayout>
                  <c:x val="3.9351851851851853E-2"/>
                  <c:y val="7.7252048039449614E-2"/>
                </c:manualLayout>
              </c:layout>
              <c:spPr>
                <a:noFill/>
                <a:ln>
                  <a:noFill/>
                </a:ln>
                <a:effectLst/>
              </c:spPr>
              <c:txPr>
                <a:bodyPr rot="0" spcFirstLastPara="1" vertOverflow="ellipsis" vert="horz" wrap="square" lIns="38100" tIns="19050" rIns="38100" bIns="19050" anchor="ctr" anchorCtr="1">
                  <a:noAutofit/>
                </a:bodyPr>
                <a:lstStyle/>
                <a:p>
                  <a:pPr>
                    <a:defRPr sz="900" b="0" i="0" u="none" strike="noStrike" kern="1200" baseline="0">
                      <a:solidFill>
                        <a:schemeClr val="tx1">
                          <a:lumMod val="75000"/>
                          <a:lumOff val="25000"/>
                        </a:schemeClr>
                      </a:solidFill>
                      <a:latin typeface="+mn-lt"/>
                      <a:ea typeface="+mn-ea"/>
                      <a:cs typeface="+mn-cs"/>
                    </a:defRPr>
                  </a:pPr>
                  <a:endParaRPr lang="fi-FI"/>
                </a:p>
              </c:txPr>
              <c:showLegendKey val="0"/>
              <c:showVal val="0"/>
              <c:showCatName val="1"/>
              <c:showSerName val="0"/>
              <c:showPercent val="1"/>
              <c:showBubbleSize val="0"/>
              <c:extLst>
                <c:ext xmlns:c15="http://schemas.microsoft.com/office/drawing/2012/chart" uri="{CE6537A1-D6FC-4f65-9D91-7224C49458BB}">
                  <c15:layout>
                    <c:manualLayout>
                      <c:w val="0.23553240740740741"/>
                      <c:h val="0.132996632996633"/>
                    </c:manualLayout>
                  </c15:layout>
                </c:ext>
                <c:ext xmlns:c16="http://schemas.microsoft.com/office/drawing/2014/chart" uri="{C3380CC4-5D6E-409C-BE32-E72D297353CC}">
                  <c16:uniqueId val="{00000001-F4CB-4DC9-88D2-4C2FD52E1377}"/>
                </c:ext>
              </c:extLst>
            </c:dLbl>
            <c:dLbl>
              <c:idx val="2"/>
              <c:delete val="1"/>
              <c:extLst>
                <c:ext xmlns:c15="http://schemas.microsoft.com/office/drawing/2012/chart" uri="{CE6537A1-D6FC-4f65-9D91-7224C49458BB}"/>
                <c:ext xmlns:c16="http://schemas.microsoft.com/office/drawing/2014/chart" uri="{C3380CC4-5D6E-409C-BE32-E72D297353CC}">
                  <c16:uniqueId val="{00000005-F4CB-4DC9-88D2-4C2FD52E1377}"/>
                </c:ext>
              </c:extLst>
            </c:dLbl>
            <c:dLbl>
              <c:idx val="3"/>
              <c:layout>
                <c:manualLayout>
                  <c:x val="-1.592118693496816E-3"/>
                  <c:y val="-9.4452928232455852E-2"/>
                </c:manualLayout>
              </c:layout>
              <c:showLegendKey val="0"/>
              <c:showVal val="0"/>
              <c:showCatName val="1"/>
              <c:showSerName val="0"/>
              <c:showPercent val="1"/>
              <c:showBubbleSize val="0"/>
              <c:extLst>
                <c:ext xmlns:c15="http://schemas.microsoft.com/office/drawing/2012/chart" uri="{CE6537A1-D6FC-4f65-9D91-7224C49458BB}">
                  <c15:layout>
                    <c:manualLayout>
                      <c:w val="0.21513378536016331"/>
                      <c:h val="0.12106073861979373"/>
                    </c:manualLayout>
                  </c15:layout>
                </c:ext>
                <c:ext xmlns:c16="http://schemas.microsoft.com/office/drawing/2014/chart" uri="{C3380CC4-5D6E-409C-BE32-E72D297353CC}">
                  <c16:uniqueId val="{00000007-F4CB-4DC9-88D2-4C2FD52E1377}"/>
                </c:ext>
              </c:extLst>
            </c:dLbl>
            <c:dLbl>
              <c:idx val="4"/>
              <c:layout>
                <c:manualLayout>
                  <c:x val="-1.8864829396327157E-3"/>
                  <c:y val="-8.9418595402847439E-2"/>
                </c:manualLayout>
              </c:layout>
              <c:showLegendKey val="0"/>
              <c:showVal val="0"/>
              <c:showCatName val="1"/>
              <c:showSerName val="0"/>
              <c:showPercent val="1"/>
              <c:showBubbleSize val="0"/>
              <c:extLst>
                <c:ext xmlns:c15="http://schemas.microsoft.com/office/drawing/2012/chart" uri="{CE6537A1-D6FC-4f65-9D91-7224C49458BB}">
                  <c15:layout>
                    <c:manualLayout>
                      <c:w val="0.23973370516185477"/>
                      <c:h val="0.12106073861979373"/>
                    </c:manualLayout>
                  </c15:layout>
                </c:ext>
                <c:ext xmlns:c16="http://schemas.microsoft.com/office/drawing/2014/chart" uri="{C3380CC4-5D6E-409C-BE32-E72D297353CC}">
                  <c16:uniqueId val="{00000009-F4CB-4DC9-88D2-4C2FD52E1377}"/>
                </c:ext>
              </c:extLst>
            </c:dLbl>
            <c:dLbl>
              <c:idx val="5"/>
              <c:layout>
                <c:manualLayout>
                  <c:x val="2.0833333333333332E-2"/>
                  <c:y val="-4.3771043771043773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B-F4CB-4DC9-88D2-4C2FD52E1377}"/>
                </c:ext>
              </c:extLst>
            </c:dLbl>
            <c:dLbl>
              <c:idx val="7"/>
              <c:delete val="1"/>
              <c:extLst>
                <c:ext xmlns:c15="http://schemas.microsoft.com/office/drawing/2012/chart" uri="{CE6537A1-D6FC-4f65-9D91-7224C49458BB}"/>
                <c:ext xmlns:c16="http://schemas.microsoft.com/office/drawing/2014/chart" uri="{C3380CC4-5D6E-409C-BE32-E72D297353CC}">
                  <c16:uniqueId val="{0000000F-F4CB-4DC9-88D2-4C2FD52E1377}"/>
                </c:ext>
              </c:extLst>
            </c:dLbl>
            <c:dLbl>
              <c:idx val="8"/>
              <c:delete val="1"/>
              <c:extLst>
                <c:ext xmlns:c15="http://schemas.microsoft.com/office/drawing/2012/chart" uri="{CE6537A1-D6FC-4f65-9D91-7224C49458BB}"/>
                <c:ext xmlns:c16="http://schemas.microsoft.com/office/drawing/2014/chart" uri="{C3380CC4-5D6E-409C-BE32-E72D297353CC}">
                  <c16:uniqueId val="{00000011-F4CB-4DC9-88D2-4C2FD52E1377}"/>
                </c:ext>
              </c:extLst>
            </c:dLbl>
            <c:dLbl>
              <c:idx val="9"/>
              <c:delete val="1"/>
              <c:extLst>
                <c:ext xmlns:c15="http://schemas.microsoft.com/office/drawing/2012/chart" uri="{CE6537A1-D6FC-4f65-9D91-7224C49458BB}"/>
                <c:ext xmlns:c16="http://schemas.microsoft.com/office/drawing/2014/chart" uri="{C3380CC4-5D6E-409C-BE32-E72D297353CC}">
                  <c16:uniqueId val="{00000013-F4CB-4DC9-88D2-4C2FD52E1377}"/>
                </c:ext>
              </c:extLst>
            </c:dLbl>
            <c:dLbl>
              <c:idx val="11"/>
              <c:delete val="1"/>
              <c:extLst>
                <c:ext xmlns:c15="http://schemas.microsoft.com/office/drawing/2012/chart" uri="{CE6537A1-D6FC-4f65-9D91-7224C49458BB}"/>
                <c:ext xmlns:c16="http://schemas.microsoft.com/office/drawing/2014/chart" uri="{C3380CC4-5D6E-409C-BE32-E72D297353CC}">
                  <c16:uniqueId val="{00000017-F4CB-4DC9-88D2-4C2FD52E1377}"/>
                </c:ext>
              </c:extLst>
            </c:dLbl>
            <c:dLbl>
              <c:idx val="12"/>
              <c:delete val="1"/>
              <c:extLst>
                <c:ext xmlns:c15="http://schemas.microsoft.com/office/drawing/2012/chart" uri="{CE6537A1-D6FC-4f65-9D91-7224C49458BB}"/>
                <c:ext xmlns:c16="http://schemas.microsoft.com/office/drawing/2014/chart" uri="{C3380CC4-5D6E-409C-BE32-E72D297353CC}">
                  <c16:uniqueId val="{00000019-F4CB-4DC9-88D2-4C2FD52E1377}"/>
                </c:ext>
              </c:extLst>
            </c:dLbl>
            <c:dLbl>
              <c:idx val="13"/>
              <c:delete val="1"/>
              <c:extLst>
                <c:ext xmlns:c15="http://schemas.microsoft.com/office/drawing/2012/chart" uri="{CE6537A1-D6FC-4f65-9D91-7224C49458BB}"/>
                <c:ext xmlns:c16="http://schemas.microsoft.com/office/drawing/2014/chart" uri="{C3380CC4-5D6E-409C-BE32-E72D297353CC}">
                  <c16:uniqueId val="{0000001B-F4CB-4DC9-88D2-4C2FD52E1377}"/>
                </c:ext>
              </c:extLst>
            </c:dLbl>
            <c:dLbl>
              <c:idx val="14"/>
              <c:delete val="1"/>
              <c:extLst>
                <c:ext xmlns:c15="http://schemas.microsoft.com/office/drawing/2012/chart" uri="{CE6537A1-D6FC-4f65-9D91-7224C49458BB}"/>
                <c:ext xmlns:c16="http://schemas.microsoft.com/office/drawing/2014/chart" uri="{C3380CC4-5D6E-409C-BE32-E72D297353CC}">
                  <c16:uniqueId val="{0000001D-F4CB-4DC9-88D2-4C2FD52E1377}"/>
                </c:ext>
              </c:extLst>
            </c:dLbl>
            <c:dLbl>
              <c:idx val="15"/>
              <c:delete val="1"/>
              <c:extLst>
                <c:ext xmlns:c15="http://schemas.microsoft.com/office/drawing/2012/chart" uri="{CE6537A1-D6FC-4f65-9D91-7224C49458BB}"/>
                <c:ext xmlns:c16="http://schemas.microsoft.com/office/drawing/2014/chart" uri="{C3380CC4-5D6E-409C-BE32-E72D297353CC}">
                  <c16:uniqueId val="{0000001F-F4CB-4DC9-88D2-4C2FD52E1377}"/>
                </c:ext>
              </c:extLst>
            </c:dLbl>
            <c:dLbl>
              <c:idx val="16"/>
              <c:layout>
                <c:manualLayout>
                  <c:x val="3.4722222222222224E-2"/>
                  <c:y val="3.7037037037037035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21-F4CB-4DC9-88D2-4C2FD52E1377}"/>
                </c:ext>
              </c:extLst>
            </c:dLbl>
            <c:spPr>
              <a:noFill/>
              <a:ln>
                <a:no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fi-FI"/>
              </a:p>
            </c:txPr>
            <c:dLblPos val="outEnd"/>
            <c:showLegendKey val="0"/>
            <c:showVal val="0"/>
            <c:showCatName val="1"/>
            <c:showSerName val="0"/>
            <c:showPercent val="1"/>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ext>
            </c:extLst>
          </c:dLbls>
          <c:cat>
            <c:strRef>
              <c:f>('Säilörehun tuotantokustannus'!$T$13:$T$22,'Säilörehun tuotantokustannus'!$T$26:$T$27,'Säilörehun tuotantokustannus'!$T$31:$T$35)</c:f>
              <c:strCache>
                <c:ptCount val="17"/>
                <c:pt idx="0">
                  <c:v>Kylvösiemenkustannus</c:v>
                </c:pt>
                <c:pt idx="1">
                  <c:v>Lannoituskustannus</c:v>
                </c:pt>
                <c:pt idx="2">
                  <c:v>Kasvinsuojelukustannus</c:v>
                </c:pt>
                <c:pt idx="3">
                  <c:v>Säilöntäainekustannus</c:v>
                </c:pt>
                <c:pt idx="4">
                  <c:v>Säilöntämuovikustannus</c:v>
                </c:pt>
                <c:pt idx="5">
                  <c:v>Traktorin poltto-ja voit.ainekust.</c:v>
                </c:pt>
                <c:pt idx="6">
                  <c:v>Korjuun urakointikust.</c:v>
                </c:pt>
                <c:pt idx="7">
                  <c:v>Muut  urakointikust.</c:v>
                </c:pt>
                <c:pt idx="8">
                  <c:v>Muut muuttuvat kustannukset</c:v>
                </c:pt>
                <c:pt idx="9">
                  <c:v>Liikepääoman korko</c:v>
                </c:pt>
                <c:pt idx="10">
                  <c:v>Yrittäjäperheen työkust.</c:v>
                </c:pt>
                <c:pt idx="11">
                  <c:v>Palkkatyökustannus</c:v>
                </c:pt>
                <c:pt idx="12">
                  <c:v>Konepoistot</c:v>
                </c:pt>
                <c:pt idx="13">
                  <c:v>Rakennuspoistot</c:v>
                </c:pt>
                <c:pt idx="14">
                  <c:v>Huolto ja kunnossapito</c:v>
                </c:pt>
                <c:pt idx="15">
                  <c:v>Korko</c:v>
                </c:pt>
                <c:pt idx="16">
                  <c:v>Yleiskustannus</c:v>
                </c:pt>
              </c:strCache>
            </c:strRef>
          </c:cat>
          <c:val>
            <c:numRef>
              <c:f>('Säilörehun tuotantokustannus'!$V$13:$V$22,'Säilörehun tuotantokustannus'!$V$26:$V$27,'Säilörehun tuotantokustannus'!$V$31:$V$35)</c:f>
              <c:numCache>
                <c:formatCode>0.00</c:formatCode>
                <c:ptCount val="17"/>
                <c:pt idx="0">
                  <c:v>0.53743746155117256</c:v>
                </c:pt>
                <c:pt idx="1">
                  <c:v>3.2246247693070349</c:v>
                </c:pt>
                <c:pt idx="2">
                  <c:v>0</c:v>
                </c:pt>
                <c:pt idx="3">
                  <c:v>1.3435936538779312</c:v>
                </c:pt>
                <c:pt idx="4">
                  <c:v>0.26871873077558628</c:v>
                </c:pt>
                <c:pt idx="5">
                  <c:v>1.0748749231023451</c:v>
                </c:pt>
                <c:pt idx="6">
                  <c:v>0</c:v>
                </c:pt>
                <c:pt idx="7">
                  <c:v>0</c:v>
                </c:pt>
                <c:pt idx="8">
                  <c:v>0</c:v>
                </c:pt>
                <c:pt idx="9">
                  <c:v>0.218243433587303</c:v>
                </c:pt>
                <c:pt idx="10">
                  <c:v>2.2804878048780486</c:v>
                </c:pt>
                <c:pt idx="11">
                  <c:v>0</c:v>
                </c:pt>
                <c:pt idx="12">
                  <c:v>1.8532326260385261</c:v>
                </c:pt>
                <c:pt idx="13">
                  <c:v>4.9419536694360691</c:v>
                </c:pt>
                <c:pt idx="14">
                  <c:v>0.92661631301926306</c:v>
                </c:pt>
                <c:pt idx="15">
                  <c:v>2.548194860802973</c:v>
                </c:pt>
                <c:pt idx="16">
                  <c:v>1.0860536223026094</c:v>
                </c:pt>
              </c:numCache>
            </c:numRef>
          </c:val>
          <c:extLst>
            <c:ext xmlns:c16="http://schemas.microsoft.com/office/drawing/2014/chart" uri="{C3380CC4-5D6E-409C-BE32-E72D297353CC}">
              <c16:uniqueId val="{00000022-F4CB-4DC9-88D2-4C2FD52E1377}"/>
            </c:ext>
          </c:extLst>
        </c:ser>
        <c:dLbls>
          <c:showLegendKey val="0"/>
          <c:showVal val="0"/>
          <c:showCatName val="0"/>
          <c:showSerName val="0"/>
          <c:showPercent val="0"/>
          <c:showBubbleSize val="0"/>
          <c:showLeaderLines val="0"/>
        </c:dLbls>
      </c:pie3D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i-FI"/>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0" i="0" u="none" strike="noStrike" kern="1200" spc="0" baseline="0">
                <a:solidFill>
                  <a:schemeClr val="tx1">
                    <a:lumMod val="65000"/>
                    <a:lumOff val="35000"/>
                  </a:schemeClr>
                </a:solidFill>
                <a:latin typeface="+mn-lt"/>
                <a:ea typeface="+mn-ea"/>
                <a:cs typeface="+mn-cs"/>
              </a:defRPr>
            </a:pPr>
            <a:r>
              <a:rPr lang="fi-FI" sz="1800"/>
              <a:t>Rehuntuotannon kuiva-ainesatojen vertailu kg ka/ha</a:t>
            </a:r>
          </a:p>
        </c:rich>
      </c:tx>
      <c:overlay val="0"/>
      <c:spPr>
        <a:noFill/>
        <a:ln>
          <a:noFill/>
        </a:ln>
        <a:effectLst/>
      </c:spPr>
      <c:txPr>
        <a:bodyPr rot="0" spcFirstLastPara="1" vertOverflow="ellipsis" vert="horz" wrap="square" anchor="ctr" anchorCtr="1"/>
        <a:lstStyle/>
        <a:p>
          <a:pPr>
            <a:defRPr sz="1800" b="0" i="0" u="none" strike="noStrike" kern="1200" spc="0" baseline="0">
              <a:solidFill>
                <a:schemeClr val="tx1">
                  <a:lumMod val="65000"/>
                  <a:lumOff val="35000"/>
                </a:schemeClr>
              </a:solidFill>
              <a:latin typeface="+mn-lt"/>
              <a:ea typeface="+mn-ea"/>
              <a:cs typeface="+mn-cs"/>
            </a:defRPr>
          </a:pPr>
          <a:endParaRPr lang="fi-FI"/>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stacked"/>
        <c:varyColors val="0"/>
        <c:ser>
          <c:idx val="0"/>
          <c:order val="0"/>
          <c:tx>
            <c:strRef>
              <c:f>'Säilörehun tuotantokustannus'!$D$16</c:f>
              <c:strCache>
                <c:ptCount val="1"/>
              </c:strCache>
            </c:strRef>
          </c:tx>
          <c:spPr>
            <a:solidFill>
              <a:schemeClr val="accent1"/>
            </a:solidFill>
            <a:ln>
              <a:noFill/>
            </a:ln>
            <a:effectLst/>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i-FI"/>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'Säilörehun tuotantokustannus'!$C$17:$C$26</c15:sqref>
                  </c15:fullRef>
                </c:ext>
              </c:extLst>
              <c:f>'Säilörehun tuotantokustannus'!$C$17:$C$21</c:f>
              <c:strCache>
                <c:ptCount val="5"/>
                <c:pt idx="0">
                  <c:v>Säilörehu</c:v>
                </c:pt>
                <c:pt idx="1">
                  <c:v>Rehuvilja</c:v>
                </c:pt>
                <c:pt idx="2">
                  <c:v>Kokoviljasäilörehu</c:v>
                </c:pt>
                <c:pt idx="3">
                  <c:v>Laidun</c:v>
                </c:pt>
                <c:pt idx="4">
                  <c:v>Muut korsirehut</c:v>
                </c:pt>
              </c:strCache>
            </c:strRef>
          </c:cat>
          <c:val>
            <c:numRef>
              <c:extLst>
                <c:ext xmlns:c15="http://schemas.microsoft.com/office/drawing/2012/chart" uri="{02D57815-91ED-43cb-92C2-25804820EDAC}">
                  <c15:fullRef>
                    <c15:sqref>'Säilörehun tuotantokustannus'!$D$17:$D$26</c15:sqref>
                  </c15:fullRef>
                </c:ext>
              </c:extLst>
              <c:f>'Säilörehun tuotantokustannus'!$D$17:$D$21</c:f>
              <c:numCache>
                <c:formatCode>General</c:formatCode>
                <c:ptCount val="5"/>
              </c:numCache>
            </c:numRef>
          </c:val>
          <c:extLst>
            <c:ext xmlns:c16="http://schemas.microsoft.com/office/drawing/2014/chart" uri="{C3380CC4-5D6E-409C-BE32-E72D297353CC}">
              <c16:uniqueId val="{00000000-2179-451D-97D0-EB51ADFA9F08}"/>
            </c:ext>
          </c:extLst>
        </c:ser>
        <c:ser>
          <c:idx val="1"/>
          <c:order val="1"/>
          <c:tx>
            <c:strRef>
              <c:f>'Säilörehun tuotantokustannus'!$F$16</c:f>
              <c:strCache>
                <c:ptCount val="1"/>
                <c:pt idx="0">
                  <c:v>kg ka/ha</c:v>
                </c:pt>
              </c:strCache>
            </c:strRef>
          </c:tx>
          <c:spPr>
            <a:solidFill>
              <a:schemeClr val="accent2"/>
            </a:solidFill>
            <a:ln>
              <a:noFill/>
            </a:ln>
            <a:effectLst/>
            <a:sp3d/>
          </c:spPr>
          <c:invertIfNegative val="0"/>
          <c:dPt>
            <c:idx val="0"/>
            <c:invertIfNegative val="0"/>
            <c:bubble3D val="0"/>
            <c:spPr>
              <a:blipFill dpi="0" rotWithShape="1">
                <a:blip xmlns:r="http://schemas.openxmlformats.org/officeDocument/2006/relationships" r:embed="rId3">
                  <a:extLst>
                    <a:ext uri="{28A0092B-C50C-407E-A947-70E740481C1C}">
                      <a14:useLocalDpi xmlns:a14="http://schemas.microsoft.com/office/drawing/2010/main" val="0"/>
                    </a:ext>
                  </a:extLst>
                </a:blip>
                <a:srcRect/>
                <a:stretch>
                  <a:fillRect/>
                </a:stretch>
              </a:blipFill>
              <a:ln>
                <a:noFill/>
              </a:ln>
              <a:effectLst/>
              <a:sp3d/>
            </c:spPr>
            <c:extLst>
              <c:ext xmlns:c16="http://schemas.microsoft.com/office/drawing/2014/chart" uri="{C3380CC4-5D6E-409C-BE32-E72D297353CC}">
                <c16:uniqueId val="{00000002-2179-451D-97D0-EB51ADFA9F08}"/>
              </c:ext>
            </c:extLst>
          </c:dPt>
          <c:dPt>
            <c:idx val="1"/>
            <c:invertIfNegative val="0"/>
            <c:bubble3D val="0"/>
            <c:spPr>
              <a:blipFill dpi="0" rotWithShape="1">
                <a:blip xmlns:r="http://schemas.openxmlformats.org/officeDocument/2006/relationships" r:embed="rId4">
                  <a:extLst>
                    <a:ext uri="{28A0092B-C50C-407E-A947-70E740481C1C}">
                      <a14:useLocalDpi xmlns:a14="http://schemas.microsoft.com/office/drawing/2010/main" val="0"/>
                    </a:ext>
                  </a:extLst>
                </a:blip>
                <a:srcRect/>
                <a:stretch>
                  <a:fillRect/>
                </a:stretch>
              </a:blipFill>
              <a:ln>
                <a:noFill/>
              </a:ln>
              <a:effectLst/>
              <a:sp3d/>
            </c:spPr>
            <c:extLst>
              <c:ext xmlns:c16="http://schemas.microsoft.com/office/drawing/2014/chart" uri="{C3380CC4-5D6E-409C-BE32-E72D297353CC}">
                <c16:uniqueId val="{00000004-2179-451D-97D0-EB51ADFA9F08}"/>
              </c:ext>
            </c:extLst>
          </c:dPt>
          <c:dLbls>
            <c:dLbl>
              <c:idx val="0"/>
              <c:layout>
                <c:manualLayout>
                  <c:x val="2.3228803716608595E-3"/>
                  <c:y val="-0.27376422212718554"/>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179-451D-97D0-EB51ADFA9F08}"/>
                </c:ext>
              </c:extLst>
            </c:dLbl>
            <c:dLbl>
              <c:idx val="1"/>
              <c:layout>
                <c:manualLayout>
                  <c:x val="4.6457607433217189E-3"/>
                  <c:y val="-0.2501055856470583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2179-451D-97D0-EB51ADFA9F08}"/>
                </c:ext>
              </c:extLst>
            </c:dLbl>
            <c:spPr>
              <a:noFill/>
              <a:ln>
                <a:noFill/>
              </a:ln>
              <a:effectLst/>
            </c:spPr>
            <c:txPr>
              <a:bodyPr rot="0" spcFirstLastPara="1" vertOverflow="ellipsis" vert="horz" wrap="square" lIns="38100" tIns="19050" rIns="38100" bIns="19050" anchor="t" anchorCtr="0">
                <a:spAutoFit/>
              </a:bodyPr>
              <a:lstStyle/>
              <a:p>
                <a:pPr>
                  <a:defRPr sz="900" b="0" i="0" u="none" strike="noStrike" kern="1200" baseline="0">
                    <a:solidFill>
                      <a:schemeClr val="tx1">
                        <a:lumMod val="75000"/>
                        <a:lumOff val="25000"/>
                      </a:schemeClr>
                    </a:solidFill>
                    <a:latin typeface="+mn-lt"/>
                    <a:ea typeface="+mn-ea"/>
                    <a:cs typeface="+mn-cs"/>
                  </a:defRPr>
                </a:pPr>
                <a:endParaRPr lang="fi-FI"/>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'Säilörehun tuotantokustannus'!$C$17:$C$26</c15:sqref>
                  </c15:fullRef>
                </c:ext>
              </c:extLst>
              <c:f>'Säilörehun tuotantokustannus'!$C$17:$C$21</c:f>
              <c:strCache>
                <c:ptCount val="5"/>
                <c:pt idx="0">
                  <c:v>Säilörehu</c:v>
                </c:pt>
                <c:pt idx="1">
                  <c:v>Rehuvilja</c:v>
                </c:pt>
                <c:pt idx="2">
                  <c:v>Kokoviljasäilörehu</c:v>
                </c:pt>
                <c:pt idx="3">
                  <c:v>Laidun</c:v>
                </c:pt>
                <c:pt idx="4">
                  <c:v>Muut korsirehut</c:v>
                </c:pt>
              </c:strCache>
            </c:strRef>
          </c:cat>
          <c:val>
            <c:numRef>
              <c:extLst>
                <c:ext xmlns:c15="http://schemas.microsoft.com/office/drawing/2012/chart" uri="{02D57815-91ED-43cb-92C2-25804820EDAC}">
                  <c15:fullRef>
                    <c15:sqref>'Säilörehun tuotantokustannus'!$F$17:$F$26</c15:sqref>
                  </c15:fullRef>
                </c:ext>
              </c:extLst>
              <c:f>'Säilörehun tuotantokustannus'!$F$17:$F$21</c:f>
              <c:numCache>
                <c:formatCode>#,##0</c:formatCode>
                <c:ptCount val="5"/>
                <c:pt idx="0">
                  <c:v>8200</c:v>
                </c:pt>
                <c:pt idx="1">
                  <c:v>0</c:v>
                </c:pt>
                <c:pt idx="2">
                  <c:v>0</c:v>
                </c:pt>
                <c:pt idx="3">
                  <c:v>2000</c:v>
                </c:pt>
                <c:pt idx="4">
                  <c:v>4300</c:v>
                </c:pt>
              </c:numCache>
            </c:numRef>
          </c:val>
          <c:extLst>
            <c:ext xmlns:c16="http://schemas.microsoft.com/office/drawing/2014/chart" uri="{C3380CC4-5D6E-409C-BE32-E72D297353CC}">
              <c16:uniqueId val="{00000005-2179-451D-97D0-EB51ADFA9F08}"/>
            </c:ext>
          </c:extLst>
        </c:ser>
        <c:dLbls>
          <c:showLegendKey val="0"/>
          <c:showVal val="1"/>
          <c:showCatName val="0"/>
          <c:showSerName val="0"/>
          <c:showPercent val="0"/>
          <c:showBubbleSize val="0"/>
        </c:dLbls>
        <c:gapWidth val="150"/>
        <c:shape val="box"/>
        <c:axId val="527299600"/>
        <c:axId val="527306264"/>
        <c:axId val="0"/>
      </c:bar3DChart>
      <c:catAx>
        <c:axId val="527299600"/>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crossAx val="527306264"/>
        <c:crosses val="autoZero"/>
        <c:auto val="1"/>
        <c:lblAlgn val="ctr"/>
        <c:lblOffset val="100"/>
        <c:noMultiLvlLbl val="0"/>
      </c:catAx>
      <c:valAx>
        <c:axId val="52730626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crossAx val="527299600"/>
        <c:crosses val="autoZero"/>
        <c:crossBetween val="between"/>
      </c:valAx>
      <c:spPr>
        <a:blipFill dpi="0" rotWithShape="1">
          <a:blip xmlns:r="http://schemas.openxmlformats.org/officeDocument/2006/relationships" r:embed="rId5">
            <a:alphaModFix amt="12000"/>
          </a:blip>
          <a:srcRect/>
          <a:tile tx="0" ty="0" sx="100000" sy="100000" flip="none" algn="tl"/>
        </a:blip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i-FI"/>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blipFill dpi="0" rotWithShape="1">
                <a:blip xmlns:r="http://schemas.openxmlformats.org/officeDocument/2006/relationships" r:embed="rId3">
                  <a:extLst>
                    <a:ext uri="{28A0092B-C50C-407E-A947-70E740481C1C}">
                      <a14:useLocalDpi xmlns:a14="http://schemas.microsoft.com/office/drawing/2010/main" val="0"/>
                    </a:ext>
                  </a:extLst>
                </a:blip>
                <a:srcRect/>
                <a:stretch>
                  <a:fillRect/>
                </a:stretch>
              </a:blipFill>
              <a:ln w="25400">
                <a:solidFill>
                  <a:schemeClr val="lt1"/>
                </a:solidFill>
              </a:ln>
              <a:effectLst/>
              <a:sp3d contourW="25400">
                <a:contourClr>
                  <a:schemeClr val="lt1"/>
                </a:contourClr>
              </a:sp3d>
            </c:spPr>
            <c:extLst>
              <c:ext xmlns:c16="http://schemas.microsoft.com/office/drawing/2014/chart" uri="{C3380CC4-5D6E-409C-BE32-E72D297353CC}">
                <c16:uniqueId val="{00000001-F3D2-4D07-80CA-383ED703F4BD}"/>
              </c:ext>
            </c:extLst>
          </c:dPt>
          <c:dPt>
            <c:idx val="1"/>
            <c:bubble3D val="0"/>
            <c:spPr>
              <a:solidFill>
                <a:schemeClr val="accent5">
                  <a:lumMod val="60000"/>
                  <a:lumOff val="4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3-F3D2-4D07-80CA-383ED703F4BD}"/>
              </c:ext>
            </c:extLst>
          </c:dPt>
          <c:dLbls>
            <c:spPr>
              <a:noFill/>
              <a:ln>
                <a:noFill/>
              </a:ln>
              <a:effectLst/>
            </c:spPr>
            <c:txPr>
              <a:bodyPr rot="0" spcFirstLastPara="1" vertOverflow="ellipsis" vert="horz" wrap="square" anchor="ctr" anchorCtr="1"/>
              <a:lstStyle/>
              <a:p>
                <a:pPr>
                  <a:defRPr sz="900" b="0" i="0" u="none" strike="noStrike" kern="1200" baseline="0">
                    <a:solidFill>
                      <a:schemeClr val="bg1"/>
                    </a:solidFill>
                    <a:latin typeface="+mn-lt"/>
                    <a:ea typeface="+mn-ea"/>
                    <a:cs typeface="+mn-cs"/>
                  </a:defRPr>
                </a:pPr>
                <a:endParaRPr lang="fi-FI"/>
              </a:p>
            </c:txPr>
            <c:showLegendKey val="0"/>
            <c:showVal val="0"/>
            <c:showCatName val="1"/>
            <c:showSerName val="0"/>
            <c:showPercent val="0"/>
            <c:showBubbleSize val="0"/>
            <c:showLeaderLines val="0"/>
            <c:extLst>
              <c:ext xmlns:c15="http://schemas.microsoft.com/office/drawing/2012/chart" uri="{CE6537A1-D6FC-4f65-9D91-7224C49458BB}"/>
            </c:extLst>
          </c:dLbls>
          <c:cat>
            <c:strRef>
              <c:f>'Säilörehun tuotantokustannus'!$P$5:$P$6</c:f>
              <c:strCache>
                <c:ptCount val="2"/>
                <c:pt idx="0">
                  <c:v>Sato</c:v>
                </c:pt>
                <c:pt idx="1">
                  <c:v>Tuet</c:v>
                </c:pt>
              </c:strCache>
            </c:strRef>
          </c:cat>
          <c:val>
            <c:numRef>
              <c:f>'Säilörehun tuotantokustannus'!$Q$5:$Q$6</c:f>
              <c:numCache>
                <c:formatCode>#,##0</c:formatCode>
                <c:ptCount val="2"/>
                <c:pt idx="0">
                  <c:v>984</c:v>
                </c:pt>
                <c:pt idx="1">
                  <c:v>700</c:v>
                </c:pt>
              </c:numCache>
            </c:numRef>
          </c:val>
          <c:extLst>
            <c:ext xmlns:c16="http://schemas.microsoft.com/office/drawing/2014/chart" uri="{C3380CC4-5D6E-409C-BE32-E72D297353CC}">
              <c16:uniqueId val="{00000004-F3D2-4D07-80CA-383ED703F4BD}"/>
            </c:ext>
          </c:extLst>
        </c:ser>
        <c:dLbls>
          <c:showLegendKey val="0"/>
          <c:showVal val="1"/>
          <c:showCatName val="0"/>
          <c:showSerName val="0"/>
          <c:showPercent val="0"/>
          <c:showBubbleSize val="0"/>
          <c:showLeaderLines val="0"/>
        </c:dLbls>
      </c:pie3DChart>
      <c:spPr>
        <a:noFill/>
        <a:ln>
          <a:noFill/>
        </a:ln>
        <a:effectLst/>
      </c:spPr>
    </c:plotArea>
    <c:plotVisOnly val="1"/>
    <c:dispBlanksAs val="gap"/>
    <c:showDLblsOverMax val="0"/>
  </c:chart>
  <c:spPr>
    <a:noFill/>
    <a:ln w="9525" cap="flat" cmpd="sng" algn="ctr">
      <a:noFill/>
      <a:round/>
    </a:ln>
    <a:effectLst/>
  </c:spPr>
  <c:txPr>
    <a:bodyPr/>
    <a:lstStyle/>
    <a:p>
      <a:pPr>
        <a:defRPr>
          <a:solidFill>
            <a:schemeClr val="bg1"/>
          </a:solidFill>
        </a:defRPr>
      </a:pPr>
      <a:endParaRPr lang="fi-FI"/>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000" b="0" i="0" u="none" strike="noStrike" kern="1200" spc="0" baseline="0">
                <a:solidFill>
                  <a:schemeClr val="tx1">
                    <a:lumMod val="65000"/>
                    <a:lumOff val="35000"/>
                  </a:schemeClr>
                </a:solidFill>
                <a:latin typeface="+mn-lt"/>
                <a:ea typeface="+mn-ea"/>
                <a:cs typeface="+mn-cs"/>
              </a:defRPr>
            </a:pPr>
            <a:r>
              <a:rPr lang="fi-FI" sz="2000" b="0" i="0" baseline="0">
                <a:effectLst/>
              </a:rPr>
              <a:t>Säilörehun tuotantokustannusvertailu, snt/kg</a:t>
            </a:r>
            <a:endParaRPr lang="fi-FI" sz="2000">
              <a:effectLst/>
            </a:endParaRPr>
          </a:p>
        </c:rich>
      </c:tx>
      <c:overlay val="0"/>
      <c:spPr>
        <a:solidFill>
          <a:schemeClr val="bg1"/>
        </a:solidFill>
        <a:ln>
          <a:noFill/>
        </a:ln>
        <a:effectLst/>
      </c:spPr>
      <c:txPr>
        <a:bodyPr rot="0" spcFirstLastPara="1" vertOverflow="ellipsis" vert="horz" wrap="square" anchor="ctr" anchorCtr="1"/>
        <a:lstStyle/>
        <a:p>
          <a:pPr>
            <a:defRPr sz="2000" b="0" i="0" u="none" strike="noStrike" kern="1200" spc="0" baseline="0">
              <a:solidFill>
                <a:schemeClr val="tx1">
                  <a:lumMod val="65000"/>
                  <a:lumOff val="35000"/>
                </a:schemeClr>
              </a:solidFill>
              <a:latin typeface="+mn-lt"/>
              <a:ea typeface="+mn-ea"/>
              <a:cs typeface="+mn-cs"/>
            </a:defRPr>
          </a:pPr>
          <a:endParaRPr lang="fi-FI"/>
        </a:p>
      </c:txPr>
    </c:title>
    <c:autoTitleDeleted val="0"/>
    <c:view3D>
      <c:rotX val="15"/>
      <c:rotY val="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stacked"/>
        <c:varyColors val="0"/>
        <c:ser>
          <c:idx val="0"/>
          <c:order val="0"/>
          <c:tx>
            <c:strRef>
              <c:f>'Säilörehun tuotantokustannus'!$T$43</c:f>
              <c:strCache>
                <c:ptCount val="1"/>
                <c:pt idx="0">
                  <c:v>Muuttuvat kustannukset</c:v>
                </c:pt>
              </c:strCache>
            </c:strRef>
          </c:tx>
          <c:spPr>
            <a:solidFill>
              <a:schemeClr val="accent1"/>
            </a:solidFill>
            <a:ln>
              <a:noFill/>
            </a:ln>
            <a:effectLst/>
            <a:sp3d/>
          </c:spPr>
          <c:invertIfNegative val="0"/>
          <c:dLbls>
            <c:dLbl>
              <c:idx val="2"/>
              <c:delete val="1"/>
              <c:extLst>
                <c:ext xmlns:c15="http://schemas.microsoft.com/office/drawing/2012/chart" uri="{CE6537A1-D6FC-4f65-9D91-7224C49458BB}"/>
                <c:ext xmlns:c16="http://schemas.microsoft.com/office/drawing/2014/chart" uri="{C3380CC4-5D6E-409C-BE32-E72D297353CC}">
                  <c16:uniqueId val="{00000000-B9CD-4438-A854-A187DDD6B2AF}"/>
                </c:ext>
              </c:extLst>
            </c:dLbl>
            <c:dLbl>
              <c:idx val="5"/>
              <c:delete val="1"/>
              <c:extLst>
                <c:ext xmlns:c15="http://schemas.microsoft.com/office/drawing/2012/chart" uri="{CE6537A1-D6FC-4f65-9D91-7224C49458BB}"/>
                <c:ext xmlns:c16="http://schemas.microsoft.com/office/drawing/2014/chart" uri="{C3380CC4-5D6E-409C-BE32-E72D297353CC}">
                  <c16:uniqueId val="{00000001-B9CD-4438-A854-A187DDD6B2AF}"/>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i-FI"/>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'Säilörehun tuotantokustannus'!$U$42:$AB$42</c:f>
              <c:strCache>
                <c:ptCount val="8"/>
                <c:pt idx="0">
                  <c:v>Oma tuot.kust.</c:v>
                </c:pt>
                <c:pt idx="1">
                  <c:v>(TK- tuet)</c:v>
                </c:pt>
                <c:pt idx="3">
                  <c:v>Hyvä</c:v>
                </c:pt>
                <c:pt idx="4">
                  <c:v>(TK- tuet)</c:v>
                </c:pt>
                <c:pt idx="6">
                  <c:v>Erinomainen</c:v>
                </c:pt>
                <c:pt idx="7">
                  <c:v>(TK- tuet)</c:v>
                </c:pt>
              </c:strCache>
            </c:strRef>
          </c:cat>
          <c:val>
            <c:numRef>
              <c:f>'Säilörehun tuotantokustannus'!$U$43:$AB$43</c:f>
              <c:numCache>
                <c:formatCode>General</c:formatCode>
                <c:ptCount val="8"/>
                <c:pt idx="0" formatCode="0.00">
                  <c:v>6.6674929722013738</c:v>
                </c:pt>
                <c:pt idx="2" formatCode="0%">
                  <c:v>0</c:v>
                </c:pt>
                <c:pt idx="3" formatCode="0.00">
                  <c:v>6.2423767455115415</c:v>
                </c:pt>
                <c:pt idx="5" formatCode="0%">
                  <c:v>0</c:v>
                </c:pt>
                <c:pt idx="6" formatCode="0.00">
                  <c:v>6.7280570124320116</c:v>
                </c:pt>
              </c:numCache>
            </c:numRef>
          </c:val>
          <c:extLst>
            <c:ext xmlns:c16="http://schemas.microsoft.com/office/drawing/2014/chart" uri="{C3380CC4-5D6E-409C-BE32-E72D297353CC}">
              <c16:uniqueId val="{00000002-B9CD-4438-A854-A187DDD6B2AF}"/>
            </c:ext>
          </c:extLst>
        </c:ser>
        <c:ser>
          <c:idx val="1"/>
          <c:order val="1"/>
          <c:tx>
            <c:strRef>
              <c:f>'Säilörehun tuotantokustannus'!$T$44</c:f>
              <c:strCache>
                <c:ptCount val="1"/>
                <c:pt idx="0">
                  <c:v>Työkustannus</c:v>
                </c:pt>
              </c:strCache>
            </c:strRef>
          </c:tx>
          <c:spPr>
            <a:solidFill>
              <a:schemeClr val="accent2"/>
            </a:solidFill>
            <a:ln>
              <a:noFill/>
            </a:ln>
            <a:effectLst/>
            <a:sp3d/>
          </c:spPr>
          <c:invertIfNegative val="0"/>
          <c:dLbls>
            <c:dLbl>
              <c:idx val="2"/>
              <c:delete val="1"/>
              <c:extLst>
                <c:ext xmlns:c15="http://schemas.microsoft.com/office/drawing/2012/chart" uri="{CE6537A1-D6FC-4f65-9D91-7224C49458BB}"/>
                <c:ext xmlns:c16="http://schemas.microsoft.com/office/drawing/2014/chart" uri="{C3380CC4-5D6E-409C-BE32-E72D297353CC}">
                  <c16:uniqueId val="{00000003-B9CD-4438-A854-A187DDD6B2AF}"/>
                </c:ext>
              </c:extLst>
            </c:dLbl>
            <c:dLbl>
              <c:idx val="5"/>
              <c:delete val="1"/>
              <c:extLst>
                <c:ext xmlns:c15="http://schemas.microsoft.com/office/drawing/2012/chart" uri="{CE6537A1-D6FC-4f65-9D91-7224C49458BB}"/>
                <c:ext xmlns:c16="http://schemas.microsoft.com/office/drawing/2014/chart" uri="{C3380CC4-5D6E-409C-BE32-E72D297353CC}">
                  <c16:uniqueId val="{00000004-B9CD-4438-A854-A187DDD6B2AF}"/>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i-FI"/>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'Säilörehun tuotantokustannus'!$U$42:$AB$42</c:f>
              <c:strCache>
                <c:ptCount val="8"/>
                <c:pt idx="0">
                  <c:v>Oma tuot.kust.</c:v>
                </c:pt>
                <c:pt idx="1">
                  <c:v>(TK- tuet)</c:v>
                </c:pt>
                <c:pt idx="3">
                  <c:v>Hyvä</c:v>
                </c:pt>
                <c:pt idx="4">
                  <c:v>(TK- tuet)</c:v>
                </c:pt>
                <c:pt idx="6">
                  <c:v>Erinomainen</c:v>
                </c:pt>
                <c:pt idx="7">
                  <c:v>(TK- tuet)</c:v>
                </c:pt>
              </c:strCache>
            </c:strRef>
          </c:cat>
          <c:val>
            <c:numRef>
              <c:f>'Säilörehun tuotantokustannus'!$U$44:$AB$44</c:f>
              <c:numCache>
                <c:formatCode>General</c:formatCode>
                <c:ptCount val="8"/>
                <c:pt idx="0" formatCode="0.00">
                  <c:v>2.2804878048780486</c:v>
                </c:pt>
                <c:pt idx="2" formatCode="0%">
                  <c:v>0</c:v>
                </c:pt>
                <c:pt idx="3" formatCode="0.00">
                  <c:v>4.3260188087774294</c:v>
                </c:pt>
                <c:pt idx="5" formatCode="0%">
                  <c:v>0</c:v>
                </c:pt>
                <c:pt idx="6" formatCode="0.00">
                  <c:v>1.125</c:v>
                </c:pt>
              </c:numCache>
            </c:numRef>
          </c:val>
          <c:extLst>
            <c:ext xmlns:c16="http://schemas.microsoft.com/office/drawing/2014/chart" uri="{C3380CC4-5D6E-409C-BE32-E72D297353CC}">
              <c16:uniqueId val="{00000005-B9CD-4438-A854-A187DDD6B2AF}"/>
            </c:ext>
          </c:extLst>
        </c:ser>
        <c:ser>
          <c:idx val="2"/>
          <c:order val="2"/>
          <c:tx>
            <c:strRef>
              <c:f>'Säilörehun tuotantokustannus'!$T$45</c:f>
              <c:strCache>
                <c:ptCount val="1"/>
                <c:pt idx="0">
                  <c:v>Kiinteät kustannukset</c:v>
                </c:pt>
              </c:strCache>
            </c:strRef>
          </c:tx>
          <c:spPr>
            <a:solidFill>
              <a:schemeClr val="accent3"/>
            </a:solidFill>
            <a:ln>
              <a:noFill/>
            </a:ln>
            <a:effectLst/>
            <a:sp3d/>
          </c:spPr>
          <c:invertIfNegative val="0"/>
          <c:dPt>
            <c:idx val="2"/>
            <c:invertIfNegative val="0"/>
            <c:bubble3D val="0"/>
            <c:spPr>
              <a:solidFill>
                <a:schemeClr val="bg1">
                  <a:lumMod val="95000"/>
                </a:schemeClr>
              </a:solidFill>
              <a:ln>
                <a:noFill/>
              </a:ln>
              <a:effectLst/>
              <a:sp3d/>
            </c:spPr>
            <c:extLst>
              <c:ext xmlns:c16="http://schemas.microsoft.com/office/drawing/2014/chart" uri="{C3380CC4-5D6E-409C-BE32-E72D297353CC}">
                <c16:uniqueId val="{00000007-B9CD-4438-A854-A187DDD6B2AF}"/>
              </c:ext>
            </c:extLst>
          </c:dPt>
          <c:dPt>
            <c:idx val="5"/>
            <c:invertIfNegative val="0"/>
            <c:bubble3D val="0"/>
            <c:spPr>
              <a:solidFill>
                <a:schemeClr val="bg1"/>
              </a:solidFill>
              <a:ln>
                <a:noFill/>
              </a:ln>
              <a:effectLst/>
              <a:sp3d/>
            </c:spPr>
            <c:extLst>
              <c:ext xmlns:c16="http://schemas.microsoft.com/office/drawing/2014/chart" uri="{C3380CC4-5D6E-409C-BE32-E72D297353CC}">
                <c16:uniqueId val="{00000009-B9CD-4438-A854-A187DDD6B2AF}"/>
              </c:ext>
            </c:extLst>
          </c:dPt>
          <c:dLbls>
            <c:dLbl>
              <c:idx val="2"/>
              <c:delete val="1"/>
              <c:extLst>
                <c:ext xmlns:c15="http://schemas.microsoft.com/office/drawing/2012/chart" uri="{CE6537A1-D6FC-4f65-9D91-7224C49458BB}"/>
                <c:ext xmlns:c16="http://schemas.microsoft.com/office/drawing/2014/chart" uri="{C3380CC4-5D6E-409C-BE32-E72D297353CC}">
                  <c16:uniqueId val="{00000007-B9CD-4438-A854-A187DDD6B2AF}"/>
                </c:ext>
              </c:extLst>
            </c:dLbl>
            <c:dLbl>
              <c:idx val="5"/>
              <c:delete val="1"/>
              <c:extLst>
                <c:ext xmlns:c15="http://schemas.microsoft.com/office/drawing/2012/chart" uri="{CE6537A1-D6FC-4f65-9D91-7224C49458BB}"/>
                <c:ext xmlns:c16="http://schemas.microsoft.com/office/drawing/2014/chart" uri="{C3380CC4-5D6E-409C-BE32-E72D297353CC}">
                  <c16:uniqueId val="{00000009-B9CD-4438-A854-A187DDD6B2AF}"/>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i-FI"/>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'Säilörehun tuotantokustannus'!$U$42:$AB$42</c:f>
              <c:strCache>
                <c:ptCount val="8"/>
                <c:pt idx="0">
                  <c:v>Oma tuot.kust.</c:v>
                </c:pt>
                <c:pt idx="1">
                  <c:v>(TK- tuet)</c:v>
                </c:pt>
                <c:pt idx="3">
                  <c:v>Hyvä</c:v>
                </c:pt>
                <c:pt idx="4">
                  <c:v>(TK- tuet)</c:v>
                </c:pt>
                <c:pt idx="6">
                  <c:v>Erinomainen</c:v>
                </c:pt>
                <c:pt idx="7">
                  <c:v>(TK- tuet)</c:v>
                </c:pt>
              </c:strCache>
            </c:strRef>
          </c:cat>
          <c:val>
            <c:numRef>
              <c:f>'Säilörehun tuotantokustannus'!$U$45:$AB$45</c:f>
              <c:numCache>
                <c:formatCode>General</c:formatCode>
                <c:ptCount val="8"/>
                <c:pt idx="0" formatCode="0.00">
                  <c:v>11.603148775071244</c:v>
                </c:pt>
                <c:pt idx="2" formatCode="0%">
                  <c:v>0</c:v>
                </c:pt>
                <c:pt idx="3" formatCode="0.00">
                  <c:v>8.1011371403715895</c:v>
                </c:pt>
                <c:pt idx="5" formatCode="0%">
                  <c:v>0</c:v>
                </c:pt>
                <c:pt idx="6" formatCode="0.00">
                  <c:v>8.1445459141797176</c:v>
                </c:pt>
              </c:numCache>
            </c:numRef>
          </c:val>
          <c:extLst>
            <c:ext xmlns:c16="http://schemas.microsoft.com/office/drawing/2014/chart" uri="{C3380CC4-5D6E-409C-BE32-E72D297353CC}">
              <c16:uniqueId val="{0000000A-B9CD-4438-A854-A187DDD6B2AF}"/>
            </c:ext>
          </c:extLst>
        </c:ser>
        <c:ser>
          <c:idx val="3"/>
          <c:order val="3"/>
          <c:tx>
            <c:strRef>
              <c:f>'Säilörehun tuotantokustannus'!$T$46</c:f>
              <c:strCache>
                <c:ptCount val="1"/>
                <c:pt idx="0">
                  <c:v>Tk - tuet</c:v>
                </c:pt>
              </c:strCache>
            </c:strRef>
          </c:tx>
          <c:spPr>
            <a:solidFill>
              <a:schemeClr val="accent4"/>
            </a:solidFill>
            <a:ln w="0">
              <a:solidFill>
                <a:schemeClr val="tx1">
                  <a:lumMod val="15000"/>
                  <a:lumOff val="85000"/>
                </a:schemeClr>
              </a:solidFill>
            </a:ln>
            <a:effectLst/>
            <a:sp3d>
              <a:contourClr>
                <a:schemeClr val="tx1">
                  <a:lumMod val="15000"/>
                  <a:lumOff val="85000"/>
                </a:schemeClr>
              </a:contourClr>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i-FI"/>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'Säilörehun tuotantokustannus'!$U$42:$AB$42</c:f>
              <c:strCache>
                <c:ptCount val="8"/>
                <c:pt idx="0">
                  <c:v>Oma tuot.kust.</c:v>
                </c:pt>
                <c:pt idx="1">
                  <c:v>(TK- tuet)</c:v>
                </c:pt>
                <c:pt idx="3">
                  <c:v>Hyvä</c:v>
                </c:pt>
                <c:pt idx="4">
                  <c:v>(TK- tuet)</c:v>
                </c:pt>
                <c:pt idx="6">
                  <c:v>Erinomainen</c:v>
                </c:pt>
                <c:pt idx="7">
                  <c:v>(TK- tuet)</c:v>
                </c:pt>
              </c:strCache>
            </c:strRef>
          </c:cat>
          <c:val>
            <c:numRef>
              <c:f>'Säilörehun tuotantokustannus'!$U$46:$AB$46</c:f>
              <c:numCache>
                <c:formatCode>0.00</c:formatCode>
                <c:ptCount val="8"/>
                <c:pt idx="1">
                  <c:v>12.014544186297011</c:v>
                </c:pt>
                <c:pt idx="4">
                  <c:v>11.317010608596155</c:v>
                </c:pt>
                <c:pt idx="7">
                  <c:v>9.3348212638300652</c:v>
                </c:pt>
              </c:numCache>
            </c:numRef>
          </c:val>
          <c:extLst>
            <c:ext xmlns:c16="http://schemas.microsoft.com/office/drawing/2014/chart" uri="{C3380CC4-5D6E-409C-BE32-E72D297353CC}">
              <c16:uniqueId val="{0000000B-B9CD-4438-A854-A187DDD6B2AF}"/>
            </c:ext>
          </c:extLst>
        </c:ser>
        <c:dLbls>
          <c:showLegendKey val="0"/>
          <c:showVal val="1"/>
          <c:showCatName val="0"/>
          <c:showSerName val="0"/>
          <c:showPercent val="0"/>
          <c:showBubbleSize val="0"/>
        </c:dLbls>
        <c:gapWidth val="0"/>
        <c:gapDepth val="35"/>
        <c:shape val="cylinder"/>
        <c:axId val="527299992"/>
        <c:axId val="527300384"/>
        <c:axId val="0"/>
      </c:bar3DChart>
      <c:catAx>
        <c:axId val="527299992"/>
        <c:scaling>
          <c:orientation val="minMax"/>
        </c:scaling>
        <c:delete val="0"/>
        <c:axPos val="b"/>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b" anchorCtr="1"/>
          <a:lstStyle/>
          <a:p>
            <a:pPr>
              <a:defRPr sz="900" b="0" i="0" u="none" strike="noStrike" kern="1200" baseline="0">
                <a:solidFill>
                  <a:schemeClr val="bg1"/>
                </a:solidFill>
                <a:latin typeface="+mn-lt"/>
                <a:ea typeface="+mn-ea"/>
                <a:cs typeface="+mn-cs"/>
              </a:defRPr>
            </a:pPr>
            <a:endParaRPr lang="fi-FI"/>
          </a:p>
        </c:txPr>
        <c:crossAx val="527300384"/>
        <c:crosses val="autoZero"/>
        <c:auto val="1"/>
        <c:lblAlgn val="ctr"/>
        <c:lblOffset val="100"/>
        <c:noMultiLvlLbl val="0"/>
      </c:catAx>
      <c:valAx>
        <c:axId val="527300384"/>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bg1"/>
                </a:solidFill>
                <a:latin typeface="+mn-lt"/>
                <a:ea typeface="+mn-ea"/>
                <a:cs typeface="+mn-cs"/>
              </a:defRPr>
            </a:pPr>
            <a:endParaRPr lang="fi-FI"/>
          </a:p>
        </c:txPr>
        <c:crossAx val="527299992"/>
        <c:crosses val="autoZero"/>
        <c:crossBetween val="between"/>
      </c:valAx>
      <c:spPr>
        <a:blipFill dpi="0" rotWithShape="1">
          <a:blip xmlns:r="http://schemas.openxmlformats.org/officeDocument/2006/relationships" r:embed="rId3">
            <a:extLst>
              <a:ext uri="{28A0092B-C50C-407E-A947-70E740481C1C}">
                <a14:useLocalDpi xmlns:a14="http://schemas.microsoft.com/office/drawing/2010/main" val="0"/>
              </a:ext>
            </a:extLst>
          </a:blip>
          <a:srcRect/>
          <a:stretch>
            <a:fillRect/>
          </a:stretch>
        </a:blip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i-FI"/>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000" b="0" i="0" u="none" strike="noStrike" kern="1200" spc="0" baseline="0">
                <a:solidFill>
                  <a:schemeClr val="tx1">
                    <a:lumMod val="65000"/>
                    <a:lumOff val="35000"/>
                  </a:schemeClr>
                </a:solidFill>
                <a:latin typeface="+mn-lt"/>
                <a:ea typeface="+mn-ea"/>
                <a:cs typeface="+mn-cs"/>
              </a:defRPr>
            </a:pPr>
            <a:r>
              <a:rPr lang="fi-FI" sz="2000"/>
              <a:t>Maidon </a:t>
            </a:r>
            <a:r>
              <a:rPr lang="fi-FI" sz="2000" baseline="0"/>
              <a:t>t</a:t>
            </a:r>
            <a:r>
              <a:rPr lang="fi-FI" sz="2000"/>
              <a:t>uotantokustannusvertailu, snt/kg</a:t>
            </a:r>
          </a:p>
        </c:rich>
      </c:tx>
      <c:overlay val="0"/>
      <c:spPr>
        <a:noFill/>
        <a:ln>
          <a:noFill/>
        </a:ln>
        <a:effectLst/>
      </c:spPr>
      <c:txPr>
        <a:bodyPr rot="0" spcFirstLastPara="1" vertOverflow="ellipsis" vert="horz" wrap="square" anchor="ctr" anchorCtr="1"/>
        <a:lstStyle/>
        <a:p>
          <a:pPr>
            <a:defRPr sz="2000" b="0" i="0" u="none" strike="noStrike" kern="1200" spc="0" baseline="0">
              <a:solidFill>
                <a:schemeClr val="tx1">
                  <a:lumMod val="65000"/>
                  <a:lumOff val="35000"/>
                </a:schemeClr>
              </a:solidFill>
              <a:latin typeface="+mn-lt"/>
              <a:ea typeface="+mn-ea"/>
              <a:cs typeface="+mn-cs"/>
            </a:defRPr>
          </a:pPr>
          <a:endParaRPr lang="fi-FI"/>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9.5588180509694351E-2"/>
          <c:y val="0.17507572160926194"/>
          <c:w val="0.88505698078062822"/>
          <c:h val="0.61498432487605714"/>
        </c:manualLayout>
      </c:layout>
      <c:bar3DChart>
        <c:barDir val="col"/>
        <c:grouping val="stacked"/>
        <c:varyColors val="0"/>
        <c:ser>
          <c:idx val="2"/>
          <c:order val="0"/>
          <c:tx>
            <c:strRef>
              <c:f>Maidontuotantokustannus!$T$55</c:f>
              <c:strCache>
                <c:ptCount val="1"/>
                <c:pt idx="0">
                  <c:v>Kiinteät kustannukset</c:v>
                </c:pt>
              </c:strCache>
            </c:strRef>
          </c:tx>
          <c:spPr>
            <a:solidFill>
              <a:schemeClr val="accent3"/>
            </a:solidFill>
            <a:ln>
              <a:noFill/>
            </a:ln>
            <a:effectLst/>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i-FI"/>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Maidontuotantokustannus!$U$52:$W$52</c:f>
              <c:strCache>
                <c:ptCount val="3"/>
                <c:pt idx="0">
                  <c:v>Oma laskelma</c:v>
                </c:pt>
                <c:pt idx="1">
                  <c:v>Hyvä</c:v>
                </c:pt>
                <c:pt idx="2">
                  <c:v>Erinomainen</c:v>
                </c:pt>
              </c:strCache>
            </c:strRef>
          </c:cat>
          <c:val>
            <c:numRef>
              <c:f>Maidontuotantokustannus!$U$55:$W$55</c:f>
              <c:numCache>
                <c:formatCode>0.0</c:formatCode>
                <c:ptCount val="3"/>
                <c:pt idx="0">
                  <c:v>13.998196350727298</c:v>
                </c:pt>
                <c:pt idx="1">
                  <c:v>11.849122807017544</c:v>
                </c:pt>
                <c:pt idx="2">
                  <c:v>16.009866756620003</c:v>
                </c:pt>
              </c:numCache>
            </c:numRef>
          </c:val>
          <c:extLst>
            <c:ext xmlns:c16="http://schemas.microsoft.com/office/drawing/2014/chart" uri="{C3380CC4-5D6E-409C-BE32-E72D297353CC}">
              <c16:uniqueId val="{00000000-9CE4-439E-BE0B-FFFE393F615A}"/>
            </c:ext>
          </c:extLst>
        </c:ser>
        <c:ser>
          <c:idx val="1"/>
          <c:order val="1"/>
          <c:tx>
            <c:strRef>
              <c:f>Maidontuotantokustannus!$T$54</c:f>
              <c:strCache>
                <c:ptCount val="1"/>
                <c:pt idx="0">
                  <c:v>Työkustannus</c:v>
                </c:pt>
              </c:strCache>
            </c:strRef>
          </c:tx>
          <c:spPr>
            <a:solidFill>
              <a:schemeClr val="accent2"/>
            </a:solidFill>
            <a:ln>
              <a:noFill/>
            </a:ln>
            <a:effectLst/>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i-FI"/>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Maidontuotantokustannus!$U$52:$W$52</c:f>
              <c:strCache>
                <c:ptCount val="3"/>
                <c:pt idx="0">
                  <c:v>Oma laskelma</c:v>
                </c:pt>
                <c:pt idx="1">
                  <c:v>Hyvä</c:v>
                </c:pt>
                <c:pt idx="2">
                  <c:v>Erinomainen</c:v>
                </c:pt>
              </c:strCache>
            </c:strRef>
          </c:cat>
          <c:val>
            <c:numRef>
              <c:f>Maidontuotantokustannus!$U$54:$W$54</c:f>
              <c:numCache>
                <c:formatCode>0.0</c:formatCode>
                <c:ptCount val="3"/>
                <c:pt idx="0">
                  <c:v>25.137610483409372</c:v>
                </c:pt>
                <c:pt idx="1">
                  <c:v>4.9307017543859653</c:v>
                </c:pt>
                <c:pt idx="2">
                  <c:v>3.4859377635351656</c:v>
                </c:pt>
              </c:numCache>
            </c:numRef>
          </c:val>
          <c:extLst>
            <c:ext xmlns:c16="http://schemas.microsoft.com/office/drawing/2014/chart" uri="{C3380CC4-5D6E-409C-BE32-E72D297353CC}">
              <c16:uniqueId val="{00000001-9CE4-439E-BE0B-FFFE393F615A}"/>
            </c:ext>
          </c:extLst>
        </c:ser>
        <c:ser>
          <c:idx val="0"/>
          <c:order val="2"/>
          <c:tx>
            <c:strRef>
              <c:f>Maidontuotantokustannus!$T$53</c:f>
              <c:strCache>
                <c:ptCount val="1"/>
                <c:pt idx="0">
                  <c:v>Muuttuvat kustannukset</c:v>
                </c:pt>
              </c:strCache>
            </c:strRef>
          </c:tx>
          <c:spPr>
            <a:solidFill>
              <a:schemeClr val="accent1"/>
            </a:solidFill>
            <a:ln>
              <a:noFill/>
            </a:ln>
            <a:effectLst/>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i-FI"/>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Maidontuotantokustannus!$U$52:$W$52</c:f>
              <c:strCache>
                <c:ptCount val="3"/>
                <c:pt idx="0">
                  <c:v>Oma laskelma</c:v>
                </c:pt>
                <c:pt idx="1">
                  <c:v>Hyvä</c:v>
                </c:pt>
                <c:pt idx="2">
                  <c:v>Erinomainen</c:v>
                </c:pt>
              </c:strCache>
            </c:strRef>
          </c:cat>
          <c:val>
            <c:numRef>
              <c:f>Maidontuotantokustannus!$U$53:$W$53</c:f>
              <c:numCache>
                <c:formatCode>0.0</c:formatCode>
                <c:ptCount val="3"/>
                <c:pt idx="0">
                  <c:v>23.260636510470654</c:v>
                </c:pt>
                <c:pt idx="1">
                  <c:v>22.566616276524648</c:v>
                </c:pt>
                <c:pt idx="2">
                  <c:v>12.877100770426235</c:v>
                </c:pt>
              </c:numCache>
            </c:numRef>
          </c:val>
          <c:extLst>
            <c:ext xmlns:c16="http://schemas.microsoft.com/office/drawing/2014/chart" uri="{C3380CC4-5D6E-409C-BE32-E72D297353CC}">
              <c16:uniqueId val="{00000002-9CE4-439E-BE0B-FFFE393F615A}"/>
            </c:ext>
          </c:extLst>
        </c:ser>
        <c:dLbls>
          <c:showLegendKey val="0"/>
          <c:showVal val="1"/>
          <c:showCatName val="0"/>
          <c:showSerName val="0"/>
          <c:showPercent val="0"/>
          <c:showBubbleSize val="0"/>
        </c:dLbls>
        <c:gapWidth val="100"/>
        <c:gapDepth val="0"/>
        <c:shape val="cylinder"/>
        <c:axId val="527302344"/>
        <c:axId val="527303128"/>
        <c:axId val="0"/>
      </c:bar3DChart>
      <c:catAx>
        <c:axId val="527302344"/>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bg1"/>
                </a:solidFill>
                <a:latin typeface="+mn-lt"/>
                <a:ea typeface="+mn-ea"/>
                <a:cs typeface="+mn-cs"/>
              </a:defRPr>
            </a:pPr>
            <a:endParaRPr lang="fi-FI"/>
          </a:p>
        </c:txPr>
        <c:crossAx val="527303128"/>
        <c:crosses val="autoZero"/>
        <c:auto val="1"/>
        <c:lblAlgn val="ctr"/>
        <c:lblOffset val="100"/>
        <c:noMultiLvlLbl val="0"/>
      </c:catAx>
      <c:valAx>
        <c:axId val="527303128"/>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bg1"/>
                </a:solidFill>
                <a:latin typeface="+mn-lt"/>
                <a:ea typeface="+mn-ea"/>
                <a:cs typeface="+mn-cs"/>
              </a:defRPr>
            </a:pPr>
            <a:endParaRPr lang="fi-FI"/>
          </a:p>
        </c:txPr>
        <c:crossAx val="527302344"/>
        <c:crosses val="autoZero"/>
        <c:crossBetween val="between"/>
      </c:valAx>
      <c:spPr>
        <a:blipFill dpi="0" rotWithShape="1">
          <a:blip xmlns:r="http://schemas.openxmlformats.org/officeDocument/2006/relationships" r:embed="rId3" cstate="print">
            <a:extLst>
              <a:ext uri="{28A0092B-C50C-407E-A947-70E740481C1C}">
                <a14:useLocalDpi xmlns:a14="http://schemas.microsoft.com/office/drawing/2010/main" val="0"/>
              </a:ext>
            </a:extLst>
          </a:blip>
          <a:srcRect/>
          <a:stretch>
            <a:fillRect/>
          </a:stretch>
        </a:blipFill>
        <a:ln>
          <a:noFill/>
        </a:ln>
        <a:effectLst/>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fi-F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i-FI"/>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r>
              <a:rPr lang="fi-FI" sz="1600"/>
              <a:t>Kannattavuus</a:t>
            </a:r>
          </a:p>
        </c:rich>
      </c:tx>
      <c:layout>
        <c:manualLayout>
          <c:xMode val="edge"/>
          <c:yMode val="edge"/>
          <c:x val="0.37731893102403297"/>
          <c:y val="4.6296296296296294E-3"/>
        </c:manualLayout>
      </c:layout>
      <c:overlay val="0"/>
      <c:spPr>
        <a:noFill/>
        <a:ln>
          <a:noFill/>
        </a:ln>
        <a:effectLst/>
      </c:spPr>
      <c:txPr>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endParaRPr lang="fi-FI"/>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10239836458798815"/>
          <c:y val="0.10430555555555555"/>
          <c:w val="0.89760163541201188"/>
          <c:h val="0.77869969378827641"/>
        </c:manualLayout>
      </c:layout>
      <c:bar3DChart>
        <c:barDir val="col"/>
        <c:grouping val="stacked"/>
        <c:varyColors val="0"/>
        <c:ser>
          <c:idx val="0"/>
          <c:order val="0"/>
          <c:tx>
            <c:strRef>
              <c:f>Lähtötiedot!$AB$7</c:f>
              <c:strCache>
                <c:ptCount val="1"/>
                <c:pt idx="0">
                  <c:v>Kotieläintuotot</c:v>
                </c:pt>
              </c:strCache>
            </c:strRef>
          </c:tx>
          <c:spPr>
            <a:solidFill>
              <a:schemeClr val="accent1">
                <a:lumMod val="50000"/>
              </a:schemeClr>
            </a:solidFill>
            <a:ln>
              <a:noFill/>
            </a:ln>
            <a:effectLst/>
            <a:sp3d/>
          </c:spPr>
          <c:invertIfNegative val="0"/>
          <c:cat>
            <c:strRef>
              <c:f>Lähtötiedot!$AC$6:$AF$6</c:f>
              <c:strCache>
                <c:ptCount val="4"/>
                <c:pt idx="0">
                  <c:v>Tuotot</c:v>
                </c:pt>
                <c:pt idx="1">
                  <c:v>Kustannukset</c:v>
                </c:pt>
                <c:pt idx="2">
                  <c:v>Voitto/tappio</c:v>
                </c:pt>
                <c:pt idx="3">
                  <c:v>Yrittäjätulo</c:v>
                </c:pt>
              </c:strCache>
            </c:strRef>
          </c:cat>
          <c:val>
            <c:numRef>
              <c:f>Lähtötiedot!$AC$7:$AF$7</c:f>
              <c:numCache>
                <c:formatCode>General</c:formatCode>
                <c:ptCount val="4"/>
                <c:pt idx="0" formatCode="#,##0">
                  <c:v>70672</c:v>
                </c:pt>
              </c:numCache>
            </c:numRef>
          </c:val>
          <c:extLst>
            <c:ext xmlns:c16="http://schemas.microsoft.com/office/drawing/2014/chart" uri="{C3380CC4-5D6E-409C-BE32-E72D297353CC}">
              <c16:uniqueId val="{00000000-6463-45BA-8D16-D4829F741F01}"/>
            </c:ext>
          </c:extLst>
        </c:ser>
        <c:ser>
          <c:idx val="1"/>
          <c:order val="1"/>
          <c:tx>
            <c:strRef>
              <c:f>Lähtötiedot!$AB$8</c:f>
              <c:strCache>
                <c:ptCount val="1"/>
                <c:pt idx="0">
                  <c:v>Kotieläintuet</c:v>
                </c:pt>
              </c:strCache>
            </c:strRef>
          </c:tx>
          <c:spPr>
            <a:solidFill>
              <a:schemeClr val="accent3">
                <a:lumMod val="75000"/>
              </a:schemeClr>
            </a:solidFill>
            <a:ln>
              <a:noFill/>
            </a:ln>
            <a:effectLst/>
            <a:sp3d/>
          </c:spPr>
          <c:invertIfNegative val="0"/>
          <c:cat>
            <c:strRef>
              <c:f>Lähtötiedot!$AC$6:$AF$6</c:f>
              <c:strCache>
                <c:ptCount val="4"/>
                <c:pt idx="0">
                  <c:v>Tuotot</c:v>
                </c:pt>
                <c:pt idx="1">
                  <c:v>Kustannukset</c:v>
                </c:pt>
                <c:pt idx="2">
                  <c:v>Voitto/tappio</c:v>
                </c:pt>
                <c:pt idx="3">
                  <c:v>Yrittäjätulo</c:v>
                </c:pt>
              </c:strCache>
            </c:strRef>
          </c:cat>
          <c:val>
            <c:numRef>
              <c:f>Lähtötiedot!$AC$8:$AF$8</c:f>
              <c:numCache>
                <c:formatCode>General</c:formatCode>
                <c:ptCount val="4"/>
                <c:pt idx="0" formatCode="#,##0">
                  <c:v>29040</c:v>
                </c:pt>
              </c:numCache>
            </c:numRef>
          </c:val>
          <c:extLst>
            <c:ext xmlns:c16="http://schemas.microsoft.com/office/drawing/2014/chart" uri="{C3380CC4-5D6E-409C-BE32-E72D297353CC}">
              <c16:uniqueId val="{00000001-6463-45BA-8D16-D4829F741F01}"/>
            </c:ext>
          </c:extLst>
        </c:ser>
        <c:ser>
          <c:idx val="2"/>
          <c:order val="2"/>
          <c:tx>
            <c:strRef>
              <c:f>Lähtötiedot!$AB$9</c:f>
              <c:strCache>
                <c:ptCount val="1"/>
                <c:pt idx="0">
                  <c:v>Muut kotiel.tuotot</c:v>
                </c:pt>
              </c:strCache>
            </c:strRef>
          </c:tx>
          <c:spPr>
            <a:solidFill>
              <a:schemeClr val="accent1">
                <a:lumMod val="75000"/>
              </a:schemeClr>
            </a:solidFill>
            <a:ln>
              <a:noFill/>
            </a:ln>
            <a:effectLst/>
            <a:sp3d/>
          </c:spPr>
          <c:invertIfNegative val="0"/>
          <c:cat>
            <c:strRef>
              <c:f>Lähtötiedot!$AC$6:$AF$6</c:f>
              <c:strCache>
                <c:ptCount val="4"/>
                <c:pt idx="0">
                  <c:v>Tuotot</c:v>
                </c:pt>
                <c:pt idx="1">
                  <c:v>Kustannukset</c:v>
                </c:pt>
                <c:pt idx="2">
                  <c:v>Voitto/tappio</c:v>
                </c:pt>
                <c:pt idx="3">
                  <c:v>Yrittäjätulo</c:v>
                </c:pt>
              </c:strCache>
            </c:strRef>
          </c:cat>
          <c:val>
            <c:numRef>
              <c:f>Lähtötiedot!$AC$9:$AF$9</c:f>
              <c:numCache>
                <c:formatCode>General</c:formatCode>
                <c:ptCount val="4"/>
                <c:pt idx="0" formatCode="#,##0">
                  <c:v>3360</c:v>
                </c:pt>
              </c:numCache>
            </c:numRef>
          </c:val>
          <c:extLst>
            <c:ext xmlns:c16="http://schemas.microsoft.com/office/drawing/2014/chart" uri="{C3380CC4-5D6E-409C-BE32-E72D297353CC}">
              <c16:uniqueId val="{00000002-6463-45BA-8D16-D4829F741F01}"/>
            </c:ext>
          </c:extLst>
        </c:ser>
        <c:ser>
          <c:idx val="3"/>
          <c:order val="3"/>
          <c:tx>
            <c:strRef>
              <c:f>Lähtötiedot!$AB$10</c:f>
              <c:strCache>
                <c:ptCount val="1"/>
                <c:pt idx="0">
                  <c:v>Viljelyn tuotot</c:v>
                </c:pt>
              </c:strCache>
            </c:strRef>
          </c:tx>
          <c:spPr>
            <a:solidFill>
              <a:schemeClr val="accent1">
                <a:lumMod val="60000"/>
                <a:lumOff val="40000"/>
              </a:schemeClr>
            </a:solidFill>
            <a:ln>
              <a:noFill/>
            </a:ln>
            <a:effectLst/>
            <a:sp3d/>
          </c:spPr>
          <c:invertIfNegative val="0"/>
          <c:cat>
            <c:strRef>
              <c:f>Lähtötiedot!$AC$6:$AF$6</c:f>
              <c:strCache>
                <c:ptCount val="4"/>
                <c:pt idx="0">
                  <c:v>Tuotot</c:v>
                </c:pt>
                <c:pt idx="1">
                  <c:v>Kustannukset</c:v>
                </c:pt>
                <c:pt idx="2">
                  <c:v>Voitto/tappio</c:v>
                </c:pt>
                <c:pt idx="3">
                  <c:v>Yrittäjätulo</c:v>
                </c:pt>
              </c:strCache>
            </c:strRef>
          </c:cat>
          <c:val>
            <c:numRef>
              <c:f>Lähtötiedot!$AC$10:$AF$10</c:f>
              <c:numCache>
                <c:formatCode>General</c:formatCode>
                <c:ptCount val="4"/>
                <c:pt idx="0" formatCode="#,##0">
                  <c:v>0</c:v>
                </c:pt>
              </c:numCache>
            </c:numRef>
          </c:val>
          <c:extLst>
            <c:ext xmlns:c16="http://schemas.microsoft.com/office/drawing/2014/chart" uri="{C3380CC4-5D6E-409C-BE32-E72D297353CC}">
              <c16:uniqueId val="{00000003-6463-45BA-8D16-D4829F741F01}"/>
            </c:ext>
          </c:extLst>
        </c:ser>
        <c:ser>
          <c:idx val="4"/>
          <c:order val="4"/>
          <c:tx>
            <c:strRef>
              <c:f>Lähtötiedot!$AB$11</c:f>
              <c:strCache>
                <c:ptCount val="1"/>
                <c:pt idx="0">
                  <c:v>Viljelyn tuet</c:v>
                </c:pt>
              </c:strCache>
            </c:strRef>
          </c:tx>
          <c:spPr>
            <a:solidFill>
              <a:schemeClr val="accent3">
                <a:lumMod val="60000"/>
                <a:lumOff val="40000"/>
              </a:schemeClr>
            </a:solidFill>
            <a:ln>
              <a:noFill/>
            </a:ln>
            <a:effectLst/>
            <a:sp3d/>
          </c:spPr>
          <c:invertIfNegative val="0"/>
          <c:cat>
            <c:strRef>
              <c:f>Lähtötiedot!$AC$6:$AF$6</c:f>
              <c:strCache>
                <c:ptCount val="4"/>
                <c:pt idx="0">
                  <c:v>Tuotot</c:v>
                </c:pt>
                <c:pt idx="1">
                  <c:v>Kustannukset</c:v>
                </c:pt>
                <c:pt idx="2">
                  <c:v>Voitto/tappio</c:v>
                </c:pt>
                <c:pt idx="3">
                  <c:v>Yrittäjätulo</c:v>
                </c:pt>
              </c:strCache>
            </c:strRef>
          </c:cat>
          <c:val>
            <c:numRef>
              <c:f>Lähtötiedot!$AC$11:$AF$11</c:f>
              <c:numCache>
                <c:formatCode>General</c:formatCode>
                <c:ptCount val="4"/>
                <c:pt idx="0" formatCode="#,##0">
                  <c:v>20300</c:v>
                </c:pt>
              </c:numCache>
            </c:numRef>
          </c:val>
          <c:extLst>
            <c:ext xmlns:c16="http://schemas.microsoft.com/office/drawing/2014/chart" uri="{C3380CC4-5D6E-409C-BE32-E72D297353CC}">
              <c16:uniqueId val="{00000004-6463-45BA-8D16-D4829F741F01}"/>
            </c:ext>
          </c:extLst>
        </c:ser>
        <c:ser>
          <c:idx val="5"/>
          <c:order val="5"/>
          <c:tx>
            <c:strRef>
              <c:f>Lähtötiedot!$AB$12</c:f>
              <c:strCache>
                <c:ptCount val="1"/>
                <c:pt idx="0">
                  <c:v>Kotiel.tuot.ostopanokset</c:v>
                </c:pt>
              </c:strCache>
            </c:strRef>
          </c:tx>
          <c:spPr>
            <a:solidFill>
              <a:schemeClr val="accent2">
                <a:lumMod val="50000"/>
              </a:schemeClr>
            </a:solidFill>
            <a:ln>
              <a:noFill/>
            </a:ln>
            <a:effectLst/>
            <a:sp3d/>
          </c:spPr>
          <c:invertIfNegative val="0"/>
          <c:cat>
            <c:strRef>
              <c:f>Lähtötiedot!$AC$6:$AF$6</c:f>
              <c:strCache>
                <c:ptCount val="4"/>
                <c:pt idx="0">
                  <c:v>Tuotot</c:v>
                </c:pt>
                <c:pt idx="1">
                  <c:v>Kustannukset</c:v>
                </c:pt>
                <c:pt idx="2">
                  <c:v>Voitto/tappio</c:v>
                </c:pt>
                <c:pt idx="3">
                  <c:v>Yrittäjätulo</c:v>
                </c:pt>
              </c:strCache>
            </c:strRef>
          </c:cat>
          <c:val>
            <c:numRef>
              <c:f>Lähtötiedot!$AC$12:$AF$12</c:f>
              <c:numCache>
                <c:formatCode>#,##0</c:formatCode>
                <c:ptCount val="4"/>
                <c:pt idx="1">
                  <c:v>11600</c:v>
                </c:pt>
              </c:numCache>
            </c:numRef>
          </c:val>
          <c:extLst>
            <c:ext xmlns:c16="http://schemas.microsoft.com/office/drawing/2014/chart" uri="{C3380CC4-5D6E-409C-BE32-E72D297353CC}">
              <c16:uniqueId val="{00000005-6463-45BA-8D16-D4829F741F01}"/>
            </c:ext>
          </c:extLst>
        </c:ser>
        <c:ser>
          <c:idx val="6"/>
          <c:order val="6"/>
          <c:tx>
            <c:strRef>
              <c:f>Lähtötiedot!$AB$13</c:f>
              <c:strCache>
                <c:ptCount val="1"/>
                <c:pt idx="0">
                  <c:v>Viljelyn ostopanokset</c:v>
                </c:pt>
              </c:strCache>
            </c:strRef>
          </c:tx>
          <c:spPr>
            <a:solidFill>
              <a:schemeClr val="accent2">
                <a:lumMod val="75000"/>
              </a:schemeClr>
            </a:solidFill>
            <a:ln>
              <a:noFill/>
            </a:ln>
            <a:effectLst/>
            <a:sp3d/>
          </c:spPr>
          <c:invertIfNegative val="0"/>
          <c:cat>
            <c:strRef>
              <c:f>Lähtötiedot!$AC$6:$AF$6</c:f>
              <c:strCache>
                <c:ptCount val="4"/>
                <c:pt idx="0">
                  <c:v>Tuotot</c:v>
                </c:pt>
                <c:pt idx="1">
                  <c:v>Kustannukset</c:v>
                </c:pt>
                <c:pt idx="2">
                  <c:v>Voitto/tappio</c:v>
                </c:pt>
                <c:pt idx="3">
                  <c:v>Yrittäjätulo</c:v>
                </c:pt>
              </c:strCache>
            </c:strRef>
          </c:cat>
          <c:val>
            <c:numRef>
              <c:f>Lähtötiedot!$AC$13:$AF$13</c:f>
              <c:numCache>
                <c:formatCode>#,##0</c:formatCode>
                <c:ptCount val="4"/>
                <c:pt idx="1">
                  <c:v>12000</c:v>
                </c:pt>
              </c:numCache>
            </c:numRef>
          </c:val>
          <c:extLst>
            <c:ext xmlns:c16="http://schemas.microsoft.com/office/drawing/2014/chart" uri="{C3380CC4-5D6E-409C-BE32-E72D297353CC}">
              <c16:uniqueId val="{00000006-6463-45BA-8D16-D4829F741F01}"/>
            </c:ext>
          </c:extLst>
        </c:ser>
        <c:ser>
          <c:idx val="7"/>
          <c:order val="7"/>
          <c:tx>
            <c:strRef>
              <c:f>Lähtötiedot!$AB$14</c:f>
              <c:strCache>
                <c:ptCount val="1"/>
                <c:pt idx="0">
                  <c:v>Kotieläintyökustannus</c:v>
                </c:pt>
              </c:strCache>
            </c:strRef>
          </c:tx>
          <c:spPr>
            <a:solidFill>
              <a:schemeClr val="accent2">
                <a:lumMod val="60000"/>
                <a:lumOff val="40000"/>
              </a:schemeClr>
            </a:solidFill>
            <a:ln>
              <a:noFill/>
            </a:ln>
            <a:effectLst/>
            <a:sp3d/>
          </c:spPr>
          <c:invertIfNegative val="0"/>
          <c:cat>
            <c:strRef>
              <c:f>Lähtötiedot!$AC$6:$AF$6</c:f>
              <c:strCache>
                <c:ptCount val="4"/>
                <c:pt idx="0">
                  <c:v>Tuotot</c:v>
                </c:pt>
                <c:pt idx="1">
                  <c:v>Kustannukset</c:v>
                </c:pt>
                <c:pt idx="2">
                  <c:v>Voitto/tappio</c:v>
                </c:pt>
                <c:pt idx="3">
                  <c:v>Yrittäjätulo</c:v>
                </c:pt>
              </c:strCache>
            </c:strRef>
          </c:cat>
          <c:val>
            <c:numRef>
              <c:f>Lähtötiedot!$AC$14:$AF$14</c:f>
              <c:numCache>
                <c:formatCode>#,##0</c:formatCode>
                <c:ptCount val="4"/>
                <c:pt idx="1">
                  <c:v>31025</c:v>
                </c:pt>
              </c:numCache>
            </c:numRef>
          </c:val>
          <c:extLst>
            <c:ext xmlns:c16="http://schemas.microsoft.com/office/drawing/2014/chart" uri="{C3380CC4-5D6E-409C-BE32-E72D297353CC}">
              <c16:uniqueId val="{00000007-6463-45BA-8D16-D4829F741F01}"/>
            </c:ext>
          </c:extLst>
        </c:ser>
        <c:ser>
          <c:idx val="8"/>
          <c:order val="8"/>
          <c:tx>
            <c:strRef>
              <c:f>Lähtötiedot!$AB$15</c:f>
              <c:strCache>
                <c:ptCount val="1"/>
                <c:pt idx="0">
                  <c:v>Viljelyn työkustannus</c:v>
                </c:pt>
              </c:strCache>
            </c:strRef>
          </c:tx>
          <c:spPr>
            <a:solidFill>
              <a:schemeClr val="accent3">
                <a:lumMod val="60000"/>
              </a:schemeClr>
            </a:solidFill>
            <a:ln>
              <a:noFill/>
            </a:ln>
            <a:effectLst/>
            <a:sp3d/>
          </c:spPr>
          <c:invertIfNegative val="0"/>
          <c:dPt>
            <c:idx val="1"/>
            <c:invertIfNegative val="0"/>
            <c:bubble3D val="0"/>
            <c:spPr>
              <a:solidFill>
                <a:schemeClr val="accent2">
                  <a:lumMod val="40000"/>
                  <a:lumOff val="60000"/>
                </a:schemeClr>
              </a:solidFill>
              <a:ln>
                <a:noFill/>
              </a:ln>
              <a:effectLst/>
              <a:sp3d/>
            </c:spPr>
            <c:extLst>
              <c:ext xmlns:c16="http://schemas.microsoft.com/office/drawing/2014/chart" uri="{C3380CC4-5D6E-409C-BE32-E72D297353CC}">
                <c16:uniqueId val="{00000009-6463-45BA-8D16-D4829F741F01}"/>
              </c:ext>
            </c:extLst>
          </c:dPt>
          <c:cat>
            <c:strRef>
              <c:f>Lähtötiedot!$AC$6:$AF$6</c:f>
              <c:strCache>
                <c:ptCount val="4"/>
                <c:pt idx="0">
                  <c:v>Tuotot</c:v>
                </c:pt>
                <c:pt idx="1">
                  <c:v>Kustannukset</c:v>
                </c:pt>
                <c:pt idx="2">
                  <c:v>Voitto/tappio</c:v>
                </c:pt>
                <c:pt idx="3">
                  <c:v>Yrittäjätulo</c:v>
                </c:pt>
              </c:strCache>
            </c:strRef>
          </c:cat>
          <c:val>
            <c:numRef>
              <c:f>Lähtötiedot!$AC$15:$AF$15</c:f>
              <c:numCache>
                <c:formatCode>#,##0</c:formatCode>
                <c:ptCount val="4"/>
                <c:pt idx="1">
                  <c:v>5423</c:v>
                </c:pt>
              </c:numCache>
            </c:numRef>
          </c:val>
          <c:extLst>
            <c:ext xmlns:c16="http://schemas.microsoft.com/office/drawing/2014/chart" uri="{C3380CC4-5D6E-409C-BE32-E72D297353CC}">
              <c16:uniqueId val="{0000000A-6463-45BA-8D16-D4829F741F01}"/>
            </c:ext>
          </c:extLst>
        </c:ser>
        <c:ser>
          <c:idx val="9"/>
          <c:order val="9"/>
          <c:tx>
            <c:strRef>
              <c:f>Lähtötiedot!$AB$16</c:f>
              <c:strCache>
                <c:ptCount val="1"/>
                <c:pt idx="0">
                  <c:v>Kotieläint.kiinteät kustannukset</c:v>
                </c:pt>
              </c:strCache>
            </c:strRef>
          </c:tx>
          <c:spPr>
            <a:solidFill>
              <a:schemeClr val="accent4">
                <a:lumMod val="75000"/>
              </a:schemeClr>
            </a:solidFill>
            <a:ln>
              <a:noFill/>
            </a:ln>
            <a:effectLst/>
            <a:sp3d/>
          </c:spPr>
          <c:invertIfNegative val="0"/>
          <c:cat>
            <c:strRef>
              <c:f>Lähtötiedot!$AC$6:$AF$6</c:f>
              <c:strCache>
                <c:ptCount val="4"/>
                <c:pt idx="0">
                  <c:v>Tuotot</c:v>
                </c:pt>
                <c:pt idx="1">
                  <c:v>Kustannukset</c:v>
                </c:pt>
                <c:pt idx="2">
                  <c:v>Voitto/tappio</c:v>
                </c:pt>
                <c:pt idx="3">
                  <c:v>Yrittäjätulo</c:v>
                </c:pt>
              </c:strCache>
            </c:strRef>
          </c:cat>
          <c:val>
            <c:numRef>
              <c:f>Lähtötiedot!$AC$16:$AF$16</c:f>
              <c:numCache>
                <c:formatCode>#,##0</c:formatCode>
                <c:ptCount val="4"/>
                <c:pt idx="1">
                  <c:v>17666.666666666668</c:v>
                </c:pt>
              </c:numCache>
            </c:numRef>
          </c:val>
          <c:extLst>
            <c:ext xmlns:c16="http://schemas.microsoft.com/office/drawing/2014/chart" uri="{C3380CC4-5D6E-409C-BE32-E72D297353CC}">
              <c16:uniqueId val="{0000000B-6463-45BA-8D16-D4829F741F01}"/>
            </c:ext>
          </c:extLst>
        </c:ser>
        <c:ser>
          <c:idx val="10"/>
          <c:order val="10"/>
          <c:tx>
            <c:strRef>
              <c:f>Lähtötiedot!$AB$17</c:f>
              <c:strCache>
                <c:ptCount val="1"/>
                <c:pt idx="0">
                  <c:v>Viljelyn kiinteät kustannukset</c:v>
                </c:pt>
              </c:strCache>
            </c:strRef>
          </c:tx>
          <c:spPr>
            <a:solidFill>
              <a:schemeClr val="accent5">
                <a:lumMod val="60000"/>
              </a:schemeClr>
            </a:solidFill>
            <a:ln>
              <a:noFill/>
            </a:ln>
            <a:effectLst/>
            <a:sp3d/>
          </c:spPr>
          <c:invertIfNegative val="0"/>
          <c:dPt>
            <c:idx val="1"/>
            <c:invertIfNegative val="0"/>
            <c:bubble3D val="0"/>
            <c:spPr>
              <a:solidFill>
                <a:schemeClr val="accent4">
                  <a:lumMod val="60000"/>
                  <a:lumOff val="40000"/>
                </a:schemeClr>
              </a:solidFill>
              <a:ln>
                <a:noFill/>
              </a:ln>
              <a:effectLst/>
              <a:sp3d/>
            </c:spPr>
            <c:extLst>
              <c:ext xmlns:c16="http://schemas.microsoft.com/office/drawing/2014/chart" uri="{C3380CC4-5D6E-409C-BE32-E72D297353CC}">
                <c16:uniqueId val="{0000000D-6463-45BA-8D16-D4829F741F01}"/>
              </c:ext>
            </c:extLst>
          </c:dPt>
          <c:cat>
            <c:strRef>
              <c:f>Lähtötiedot!$AC$6:$AF$6</c:f>
              <c:strCache>
                <c:ptCount val="4"/>
                <c:pt idx="0">
                  <c:v>Tuotot</c:v>
                </c:pt>
                <c:pt idx="1">
                  <c:v>Kustannukset</c:v>
                </c:pt>
                <c:pt idx="2">
                  <c:v>Voitto/tappio</c:v>
                </c:pt>
                <c:pt idx="3">
                  <c:v>Yrittäjätulo</c:v>
                </c:pt>
              </c:strCache>
            </c:strRef>
          </c:cat>
          <c:val>
            <c:numRef>
              <c:f>Lähtötiedot!$AC$17:$AF$17</c:f>
              <c:numCache>
                <c:formatCode>#,##0</c:formatCode>
                <c:ptCount val="4"/>
                <c:pt idx="1">
                  <c:v>20833.333333333336</c:v>
                </c:pt>
              </c:numCache>
            </c:numRef>
          </c:val>
          <c:extLst>
            <c:ext xmlns:c16="http://schemas.microsoft.com/office/drawing/2014/chart" uri="{C3380CC4-5D6E-409C-BE32-E72D297353CC}">
              <c16:uniqueId val="{0000000E-6463-45BA-8D16-D4829F741F01}"/>
            </c:ext>
          </c:extLst>
        </c:ser>
        <c:ser>
          <c:idx val="11"/>
          <c:order val="11"/>
          <c:tx>
            <c:strRef>
              <c:f>Lähtötiedot!$AB$18</c:f>
              <c:strCache>
                <c:ptCount val="1"/>
                <c:pt idx="0">
                  <c:v>Korkokustannus</c:v>
                </c:pt>
              </c:strCache>
            </c:strRef>
          </c:tx>
          <c:spPr>
            <a:solidFill>
              <a:schemeClr val="accent6">
                <a:lumMod val="60000"/>
              </a:schemeClr>
            </a:solidFill>
            <a:ln>
              <a:noFill/>
            </a:ln>
            <a:effectLst/>
            <a:sp3d/>
          </c:spPr>
          <c:invertIfNegative val="0"/>
          <c:dPt>
            <c:idx val="1"/>
            <c:invertIfNegative val="0"/>
            <c:bubble3D val="0"/>
            <c:spPr>
              <a:solidFill>
                <a:schemeClr val="accent4">
                  <a:lumMod val="40000"/>
                  <a:lumOff val="60000"/>
                </a:schemeClr>
              </a:solidFill>
              <a:ln>
                <a:noFill/>
              </a:ln>
              <a:effectLst/>
              <a:sp3d/>
            </c:spPr>
            <c:extLst>
              <c:ext xmlns:c16="http://schemas.microsoft.com/office/drawing/2014/chart" uri="{C3380CC4-5D6E-409C-BE32-E72D297353CC}">
                <c16:uniqueId val="{00000010-6463-45BA-8D16-D4829F741F01}"/>
              </c:ext>
            </c:extLst>
          </c:dPt>
          <c:cat>
            <c:strRef>
              <c:f>Lähtötiedot!$AC$6:$AF$6</c:f>
              <c:strCache>
                <c:ptCount val="4"/>
                <c:pt idx="0">
                  <c:v>Tuotot</c:v>
                </c:pt>
                <c:pt idx="1">
                  <c:v>Kustannukset</c:v>
                </c:pt>
                <c:pt idx="2">
                  <c:v>Voitto/tappio</c:v>
                </c:pt>
                <c:pt idx="3">
                  <c:v>Yrittäjätulo</c:v>
                </c:pt>
              </c:strCache>
            </c:strRef>
          </c:cat>
          <c:val>
            <c:numRef>
              <c:f>Lähtötiedot!$AC$18:$AF$18</c:f>
              <c:numCache>
                <c:formatCode>#,##0</c:formatCode>
                <c:ptCount val="4"/>
                <c:pt idx="1">
                  <c:v>11875</c:v>
                </c:pt>
              </c:numCache>
            </c:numRef>
          </c:val>
          <c:extLst>
            <c:ext xmlns:c16="http://schemas.microsoft.com/office/drawing/2014/chart" uri="{C3380CC4-5D6E-409C-BE32-E72D297353CC}">
              <c16:uniqueId val="{00000011-6463-45BA-8D16-D4829F741F01}"/>
            </c:ext>
          </c:extLst>
        </c:ser>
        <c:ser>
          <c:idx val="12"/>
          <c:order val="12"/>
          <c:tx>
            <c:strRef>
              <c:f>Lähtötiedot!$AB$19</c:f>
              <c:strCache>
                <c:ptCount val="1"/>
                <c:pt idx="0">
                  <c:v>Yleiskustannus</c:v>
                </c:pt>
              </c:strCache>
            </c:strRef>
          </c:tx>
          <c:spPr>
            <a:solidFill>
              <a:schemeClr val="accent4"/>
            </a:solidFill>
            <a:ln>
              <a:noFill/>
            </a:ln>
            <a:effectLst/>
            <a:sp3d/>
          </c:spPr>
          <c:invertIfNegative val="0"/>
          <c:cat>
            <c:strRef>
              <c:f>Lähtötiedot!$AC$6:$AF$6</c:f>
              <c:strCache>
                <c:ptCount val="4"/>
                <c:pt idx="0">
                  <c:v>Tuotot</c:v>
                </c:pt>
                <c:pt idx="1">
                  <c:v>Kustannukset</c:v>
                </c:pt>
                <c:pt idx="2">
                  <c:v>Voitto/tappio</c:v>
                </c:pt>
                <c:pt idx="3">
                  <c:v>Yrittäjätulo</c:v>
                </c:pt>
              </c:strCache>
            </c:strRef>
          </c:cat>
          <c:val>
            <c:numRef>
              <c:f>Lähtötiedot!$AC$19:$AF$19</c:f>
              <c:numCache>
                <c:formatCode>#,##0</c:formatCode>
                <c:ptCount val="4"/>
                <c:pt idx="1">
                  <c:v>14800</c:v>
                </c:pt>
              </c:numCache>
            </c:numRef>
          </c:val>
          <c:extLst>
            <c:ext xmlns:c16="http://schemas.microsoft.com/office/drawing/2014/chart" uri="{C3380CC4-5D6E-409C-BE32-E72D297353CC}">
              <c16:uniqueId val="{00000012-6463-45BA-8D16-D4829F741F01}"/>
            </c:ext>
          </c:extLst>
        </c:ser>
        <c:ser>
          <c:idx val="13"/>
          <c:order val="13"/>
          <c:tx>
            <c:strRef>
              <c:f>Lähtötiedot!$AB$20</c:f>
              <c:strCache>
                <c:ptCount val="1"/>
                <c:pt idx="0">
                  <c:v>Voitto/tappio</c:v>
                </c:pt>
              </c:strCache>
            </c:strRef>
          </c:tx>
          <c:spPr>
            <a:solidFill>
              <a:schemeClr val="bg1">
                <a:lumMod val="75000"/>
              </a:schemeClr>
            </a:solidFill>
            <a:ln>
              <a:noFill/>
            </a:ln>
            <a:effectLst/>
            <a:sp3d/>
          </c:spPr>
          <c:invertIfNegative val="0"/>
          <c:dPt>
            <c:idx val="2"/>
            <c:invertIfNegative val="1"/>
            <c:bubble3D val="0"/>
            <c:spPr>
              <a:solidFill>
                <a:srgbClr val="BFBFBF"/>
              </a:solidFill>
              <a:ln>
                <a:noFill/>
              </a:ln>
              <a:effectLst/>
              <a:sp3d/>
            </c:spPr>
            <c:extLst>
              <c:ext xmlns:c16="http://schemas.microsoft.com/office/drawing/2014/chart" uri="{C3380CC4-5D6E-409C-BE32-E72D297353CC}">
                <c16:uniqueId val="{00000014-6463-45BA-8D16-D4829F741F01}"/>
              </c:ext>
            </c:extLst>
          </c:dPt>
          <c:dLbls>
            <c:dLbl>
              <c:idx val="2"/>
              <c:layout>
                <c:manualLayout>
                  <c:x val="1.812297365176492E-2"/>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6463-45BA-8D16-D4829F741F01}"/>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85000"/>
                        <a:lumOff val="15000"/>
                      </a:schemeClr>
                    </a:solidFill>
                    <a:latin typeface="+mn-lt"/>
                    <a:ea typeface="+mn-ea"/>
                    <a:cs typeface="+mn-cs"/>
                  </a:defRPr>
                </a:pPr>
                <a:endParaRPr lang="fi-FI"/>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Lähtötiedot!$AC$6:$AF$6</c:f>
              <c:strCache>
                <c:ptCount val="4"/>
                <c:pt idx="0">
                  <c:v>Tuotot</c:v>
                </c:pt>
                <c:pt idx="1">
                  <c:v>Kustannukset</c:v>
                </c:pt>
                <c:pt idx="2">
                  <c:v>Voitto/tappio</c:v>
                </c:pt>
                <c:pt idx="3">
                  <c:v>Yrittäjätulo</c:v>
                </c:pt>
              </c:strCache>
            </c:strRef>
          </c:cat>
          <c:val>
            <c:numRef>
              <c:f>Lähtötiedot!$AC$20:$AF$20</c:f>
              <c:numCache>
                <c:formatCode>General</c:formatCode>
                <c:ptCount val="4"/>
                <c:pt idx="2" formatCode="#,##0">
                  <c:v>-2000</c:v>
                </c:pt>
              </c:numCache>
            </c:numRef>
          </c:val>
          <c:extLst>
            <c:ext xmlns:c16="http://schemas.microsoft.com/office/drawing/2014/chart" uri="{C3380CC4-5D6E-409C-BE32-E72D297353CC}">
              <c16:uniqueId val="{00000015-6463-45BA-8D16-D4829F741F01}"/>
            </c:ext>
          </c:extLst>
        </c:ser>
        <c:ser>
          <c:idx val="14"/>
          <c:order val="14"/>
          <c:tx>
            <c:strRef>
              <c:f>Lähtötiedot!$AB$21</c:f>
              <c:strCache>
                <c:ptCount val="1"/>
                <c:pt idx="0">
                  <c:v>Yrittäjätulo</c:v>
                </c:pt>
              </c:strCache>
            </c:strRef>
          </c:tx>
          <c:spPr>
            <a:solidFill>
              <a:srgbClr val="98F20F"/>
            </a:solidFill>
            <a:ln>
              <a:noFill/>
            </a:ln>
            <a:effectLst/>
            <a:sp3d/>
          </c:spPr>
          <c:invertIfNegative val="0"/>
          <c:dLbls>
            <c:dLbl>
              <c:idx val="3"/>
              <c:layout>
                <c:manualLayout>
                  <c:x val="2.4999999999999897E-2"/>
                  <c:y val="-4.6296296296295444E-3"/>
                </c:manualLayout>
              </c:layout>
              <c:numFmt formatCode="#,##0\ &quot;€&quot;"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i-FI"/>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6463-45BA-8D16-D4829F741F01}"/>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i-FI"/>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Lähtötiedot!$AC$6:$AF$6</c:f>
              <c:strCache>
                <c:ptCount val="4"/>
                <c:pt idx="0">
                  <c:v>Tuotot</c:v>
                </c:pt>
                <c:pt idx="1">
                  <c:v>Kustannukset</c:v>
                </c:pt>
                <c:pt idx="2">
                  <c:v>Voitto/tappio</c:v>
                </c:pt>
                <c:pt idx="3">
                  <c:v>Yrittäjätulo</c:v>
                </c:pt>
              </c:strCache>
            </c:strRef>
          </c:cat>
          <c:val>
            <c:numRef>
              <c:f>Lähtötiedot!$AC$21:$AF$21</c:f>
              <c:numCache>
                <c:formatCode>General</c:formatCode>
                <c:ptCount val="4"/>
                <c:pt idx="3" formatCode="#,##0">
                  <c:v>47000</c:v>
                </c:pt>
              </c:numCache>
            </c:numRef>
          </c:val>
          <c:extLst>
            <c:ext xmlns:c16="http://schemas.microsoft.com/office/drawing/2014/chart" uri="{C3380CC4-5D6E-409C-BE32-E72D297353CC}">
              <c16:uniqueId val="{00000017-6463-45BA-8D16-D4829F741F01}"/>
            </c:ext>
          </c:extLst>
        </c:ser>
        <c:dLbls>
          <c:showLegendKey val="0"/>
          <c:showVal val="0"/>
          <c:showCatName val="0"/>
          <c:showSerName val="0"/>
          <c:showPercent val="0"/>
          <c:showBubbleSize val="0"/>
        </c:dLbls>
        <c:gapWidth val="10"/>
        <c:gapDepth val="0"/>
        <c:shape val="cylinder"/>
        <c:axId val="691009896"/>
        <c:axId val="714346136"/>
        <c:axId val="0"/>
      </c:bar3DChart>
      <c:catAx>
        <c:axId val="691009896"/>
        <c:scaling>
          <c:orientation val="minMax"/>
        </c:scaling>
        <c:delete val="0"/>
        <c:axPos val="b"/>
        <c:numFmt formatCode="General" sourceLinked="1"/>
        <c:majorTickMark val="none"/>
        <c:minorTickMark val="none"/>
        <c:tickLblPos val="low"/>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fi-FI"/>
          </a:p>
        </c:txPr>
        <c:crossAx val="714346136"/>
        <c:crosses val="autoZero"/>
        <c:auto val="1"/>
        <c:lblAlgn val="ctr"/>
        <c:lblOffset val="200"/>
        <c:tickLblSkip val="1"/>
        <c:noMultiLvlLbl val="0"/>
      </c:catAx>
      <c:valAx>
        <c:axId val="71434613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crossAx val="691009896"/>
        <c:crosses val="autoZero"/>
        <c:crossBetween val="between"/>
      </c:valAx>
      <c:spPr>
        <a:blipFill dpi="0" rotWithShape="1">
          <a:blip xmlns:r="http://schemas.openxmlformats.org/officeDocument/2006/relationships" r:embed="rId3">
            <a:alphaModFix amt="50000"/>
          </a:blip>
          <a:srcRect/>
          <a:stretch>
            <a:fillRect/>
          </a:stretch>
        </a:blip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fi-FI"/>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rgbClr val="CCFFFF"/>
              </a:solidFill>
              <a:ln w="25400">
                <a:solidFill>
                  <a:schemeClr val="lt1"/>
                </a:solidFill>
              </a:ln>
              <a:effectLst/>
              <a:sp3d contourW="25400">
                <a:contourClr>
                  <a:schemeClr val="lt1"/>
                </a:contourClr>
              </a:sp3d>
            </c:spPr>
            <c:extLst>
              <c:ext xmlns:c16="http://schemas.microsoft.com/office/drawing/2014/chart" uri="{C3380CC4-5D6E-409C-BE32-E72D297353CC}">
                <c16:uniqueId val="{00000001-AB05-4528-AF4C-8C423BCF7E82}"/>
              </c:ext>
            </c:extLst>
          </c:dPt>
          <c:dPt>
            <c:idx val="1"/>
            <c:bubble3D val="0"/>
            <c:spPr>
              <a:solidFill>
                <a:schemeClr val="accent2"/>
              </a:solidFill>
              <a:ln w="25400">
                <a:solidFill>
                  <a:schemeClr val="lt1"/>
                </a:solidFill>
              </a:ln>
              <a:effectLst/>
              <a:sp3d contourW="25400">
                <a:contourClr>
                  <a:schemeClr val="lt1"/>
                </a:contourClr>
              </a:sp3d>
            </c:spPr>
            <c:extLst>
              <c:ext xmlns:c16="http://schemas.microsoft.com/office/drawing/2014/chart" uri="{C3380CC4-5D6E-409C-BE32-E72D297353CC}">
                <c16:uniqueId val="{00000003-AB05-4528-AF4C-8C423BCF7E82}"/>
              </c:ext>
            </c:extLst>
          </c:dPt>
          <c:dPt>
            <c:idx val="2"/>
            <c:bubble3D val="0"/>
            <c:spPr>
              <a:solidFill>
                <a:schemeClr val="accent3"/>
              </a:solidFill>
              <a:ln w="25400">
                <a:solidFill>
                  <a:schemeClr val="lt1"/>
                </a:solidFill>
              </a:ln>
              <a:effectLst/>
              <a:sp3d contourW="25400">
                <a:contourClr>
                  <a:schemeClr val="lt1"/>
                </a:contourClr>
              </a:sp3d>
            </c:spPr>
            <c:extLst>
              <c:ext xmlns:c16="http://schemas.microsoft.com/office/drawing/2014/chart" uri="{C3380CC4-5D6E-409C-BE32-E72D297353CC}">
                <c16:uniqueId val="{00000005-AB05-4528-AF4C-8C423BCF7E82}"/>
              </c:ext>
            </c:extLst>
          </c:dPt>
          <c:dPt>
            <c:idx val="3"/>
            <c:bubble3D val="0"/>
            <c:spPr>
              <a:solidFill>
                <a:schemeClr val="accent4"/>
              </a:solidFill>
              <a:ln w="25400">
                <a:solidFill>
                  <a:schemeClr val="lt1"/>
                </a:solidFill>
              </a:ln>
              <a:effectLst/>
              <a:sp3d contourW="25400">
                <a:contourClr>
                  <a:schemeClr val="lt1"/>
                </a:contourClr>
              </a:sp3d>
            </c:spPr>
            <c:extLst>
              <c:ext xmlns:c16="http://schemas.microsoft.com/office/drawing/2014/chart" uri="{C3380CC4-5D6E-409C-BE32-E72D297353CC}">
                <c16:uniqueId val="{00000007-AB05-4528-AF4C-8C423BCF7E82}"/>
              </c:ext>
            </c:extLst>
          </c:dPt>
          <c:dLbls>
            <c:dLbl>
              <c:idx val="0"/>
              <c:layout>
                <c:manualLayout>
                  <c:x val="-0.2608695652173913"/>
                  <c:y val="-0.21932042094374254"/>
                </c:manualLayout>
              </c:layout>
              <c:showLegendKey val="0"/>
              <c:showVal val="0"/>
              <c:showCatName val="1"/>
              <c:showSerName val="0"/>
              <c:showPercent val="0"/>
              <c:showBubbleSize val="0"/>
              <c:extLst>
                <c:ext xmlns:c15="http://schemas.microsoft.com/office/drawing/2012/chart" uri="{CE6537A1-D6FC-4f65-9D91-7224C49458BB}">
                  <c15:layout>
                    <c:manualLayout>
                      <c:w val="0.3170289855072464"/>
                      <c:h val="0.11864399742337445"/>
                    </c:manualLayout>
                  </c15:layout>
                </c:ext>
                <c:ext xmlns:c16="http://schemas.microsoft.com/office/drawing/2014/chart" uri="{C3380CC4-5D6E-409C-BE32-E72D297353CC}">
                  <c16:uniqueId val="{00000001-AB05-4528-AF4C-8C423BCF7E82}"/>
                </c:ext>
              </c:extLst>
            </c:dLbl>
            <c:dLbl>
              <c:idx val="1"/>
              <c:delete val="1"/>
              <c:extLst>
                <c:ext xmlns:c15="http://schemas.microsoft.com/office/drawing/2012/chart" uri="{CE6537A1-D6FC-4f65-9D91-7224C49458BB}"/>
                <c:ext xmlns:c16="http://schemas.microsoft.com/office/drawing/2014/chart" uri="{C3380CC4-5D6E-409C-BE32-E72D297353CC}">
                  <c16:uniqueId val="{00000003-AB05-4528-AF4C-8C423BCF7E82}"/>
                </c:ext>
              </c:extLst>
            </c:dLbl>
            <c:dLbl>
              <c:idx val="2"/>
              <c:delete val="1"/>
              <c:extLst>
                <c:ext xmlns:c15="http://schemas.microsoft.com/office/drawing/2012/chart" uri="{CE6537A1-D6FC-4f65-9D91-7224C49458BB}"/>
                <c:ext xmlns:c16="http://schemas.microsoft.com/office/drawing/2014/chart" uri="{C3380CC4-5D6E-409C-BE32-E72D297353CC}">
                  <c16:uniqueId val="{00000005-AB05-4528-AF4C-8C423BCF7E82}"/>
                </c:ext>
              </c:extLst>
            </c:dLbl>
            <c:dLbl>
              <c:idx val="3"/>
              <c:delete val="1"/>
              <c:extLst>
                <c:ext xmlns:c15="http://schemas.microsoft.com/office/drawing/2012/chart" uri="{CE6537A1-D6FC-4f65-9D91-7224C49458BB}"/>
                <c:ext xmlns:c16="http://schemas.microsoft.com/office/drawing/2014/chart" uri="{C3380CC4-5D6E-409C-BE32-E72D297353CC}">
                  <c16:uniqueId val="{00000007-AB05-4528-AF4C-8C423BCF7E82}"/>
                </c:ext>
              </c:extLst>
            </c:dLbl>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mn-lt"/>
                    <a:ea typeface="+mn-ea"/>
                    <a:cs typeface="+mn-cs"/>
                  </a:defRPr>
                </a:pPr>
                <a:endParaRPr lang="fi-FI"/>
              </a:p>
            </c:txPr>
            <c:showLegendKey val="0"/>
            <c:showVal val="0"/>
            <c:showCatName val="1"/>
            <c:showSerName val="0"/>
            <c:showPercent val="0"/>
            <c:showBubbleSize val="0"/>
            <c:showLeaderLines val="0"/>
            <c:extLst>
              <c:ext xmlns:c15="http://schemas.microsoft.com/office/drawing/2012/chart" uri="{CE6537A1-D6FC-4f65-9D91-7224C49458BB}"/>
            </c:extLst>
          </c:dLbls>
          <c:cat>
            <c:strRef>
              <c:f>Maidontuotantokustannus!$P$5:$P$8</c:f>
              <c:strCache>
                <c:ptCount val="4"/>
                <c:pt idx="0">
                  <c:v>Maito</c:v>
                </c:pt>
                <c:pt idx="1">
                  <c:v>Tuotantotuki</c:v>
                </c:pt>
                <c:pt idx="2">
                  <c:v>Muut</c:v>
                </c:pt>
                <c:pt idx="3">
                  <c:v>Hyvinvointikorvaus</c:v>
                </c:pt>
              </c:strCache>
            </c:strRef>
          </c:cat>
          <c:val>
            <c:numRef>
              <c:f>Maidontuotantokustannus!$Q$5:$Q$8</c:f>
              <c:numCache>
                <c:formatCode>#,##0</c:formatCode>
                <c:ptCount val="4"/>
                <c:pt idx="0">
                  <c:v>2880</c:v>
                </c:pt>
                <c:pt idx="1">
                  <c:v>822</c:v>
                </c:pt>
                <c:pt idx="2">
                  <c:v>168</c:v>
                </c:pt>
                <c:pt idx="3">
                  <c:v>0</c:v>
                </c:pt>
              </c:numCache>
            </c:numRef>
          </c:val>
          <c:extLst>
            <c:ext xmlns:c16="http://schemas.microsoft.com/office/drawing/2014/chart" uri="{C3380CC4-5D6E-409C-BE32-E72D297353CC}">
              <c16:uniqueId val="{00000008-AB05-4528-AF4C-8C423BCF7E82}"/>
            </c:ext>
          </c:extLst>
        </c:ser>
        <c:dLbls>
          <c:showLegendKey val="0"/>
          <c:showVal val="0"/>
          <c:showCatName val="0"/>
          <c:showSerName val="0"/>
          <c:showPercent val="0"/>
          <c:showBubbleSize val="0"/>
          <c:showLeaderLines val="0"/>
        </c:dLbls>
      </c:pie3DChart>
      <c:spPr>
        <a:noFill/>
        <a:ln>
          <a:noFill/>
        </a:ln>
        <a:effectLst/>
      </c:spPr>
    </c:plotArea>
    <c:plotVisOnly val="1"/>
    <c:dispBlanksAs val="gap"/>
    <c:showDLblsOverMax val="0"/>
  </c:chart>
  <c:spPr>
    <a:noFill/>
    <a:ln w="9525" cap="flat" cmpd="sng" algn="ctr">
      <a:noFill/>
      <a:round/>
    </a:ln>
    <a:effectLst/>
  </c:spPr>
  <c:txPr>
    <a:bodyPr/>
    <a:lstStyle/>
    <a:p>
      <a:pPr>
        <a:defRPr sz="1000"/>
      </a:pPr>
      <a:endParaRPr lang="fi-FI"/>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000" b="0" i="0" u="none" strike="noStrike" kern="1200" spc="0" baseline="0">
                <a:solidFill>
                  <a:schemeClr val="tx1">
                    <a:lumMod val="65000"/>
                    <a:lumOff val="35000"/>
                  </a:schemeClr>
                </a:solidFill>
                <a:latin typeface="+mn-lt"/>
                <a:ea typeface="+mn-ea"/>
                <a:cs typeface="+mn-cs"/>
              </a:defRPr>
            </a:pPr>
            <a:r>
              <a:rPr lang="en-US" sz="2000"/>
              <a:t>Kotieläintuotantokustannuksen jakautuminen</a:t>
            </a:r>
          </a:p>
        </c:rich>
      </c:tx>
      <c:overlay val="0"/>
      <c:spPr>
        <a:noFill/>
        <a:ln>
          <a:noFill/>
        </a:ln>
        <a:effectLst/>
      </c:spPr>
      <c:txPr>
        <a:bodyPr rot="0" spcFirstLastPara="1" vertOverflow="ellipsis" vert="horz" wrap="square" anchor="ctr" anchorCtr="1"/>
        <a:lstStyle/>
        <a:p>
          <a:pPr>
            <a:defRPr sz="2000" b="0" i="0" u="none" strike="noStrike" kern="1200" spc="0" baseline="0">
              <a:solidFill>
                <a:schemeClr val="tx1">
                  <a:lumMod val="65000"/>
                  <a:lumOff val="35000"/>
                </a:schemeClr>
              </a:solidFill>
              <a:latin typeface="+mn-lt"/>
              <a:ea typeface="+mn-ea"/>
              <a:cs typeface="+mn-cs"/>
            </a:defRPr>
          </a:pPr>
          <a:endParaRPr lang="fi-FI"/>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blipFill dpi="0" rotWithShape="1">
                <a:blip xmlns:r="http://schemas.openxmlformats.org/officeDocument/2006/relationships" r:embed="rId3">
                  <a:extLst>
                    <a:ext uri="{28A0092B-C50C-407E-A947-70E740481C1C}">
                      <a14:useLocalDpi xmlns:a14="http://schemas.microsoft.com/office/drawing/2010/main" val="0"/>
                    </a:ext>
                  </a:extLst>
                </a:blip>
                <a:srcRect/>
                <a:stretch>
                  <a:fillRect/>
                </a:stretch>
              </a:blipFill>
              <a:ln w="25400">
                <a:solidFill>
                  <a:schemeClr val="lt1"/>
                </a:solidFill>
              </a:ln>
              <a:effectLst/>
              <a:sp3d contourW="25400">
                <a:contourClr>
                  <a:schemeClr val="lt1"/>
                </a:contourClr>
              </a:sp3d>
            </c:spPr>
            <c:extLst>
              <c:ext xmlns:c16="http://schemas.microsoft.com/office/drawing/2014/chart" uri="{C3380CC4-5D6E-409C-BE32-E72D297353CC}">
                <c16:uniqueId val="{00000001-3306-43D1-A281-AEAFC2A16C60}"/>
              </c:ext>
            </c:extLst>
          </c:dPt>
          <c:dPt>
            <c:idx val="1"/>
            <c:bubble3D val="0"/>
            <c:spPr>
              <a:solidFill>
                <a:schemeClr val="accent2"/>
              </a:solidFill>
              <a:ln w="25400">
                <a:solidFill>
                  <a:schemeClr val="lt1"/>
                </a:solidFill>
              </a:ln>
              <a:effectLst/>
              <a:sp3d contourW="25400">
                <a:contourClr>
                  <a:schemeClr val="lt1"/>
                </a:contourClr>
              </a:sp3d>
            </c:spPr>
            <c:extLst>
              <c:ext xmlns:c16="http://schemas.microsoft.com/office/drawing/2014/chart" uri="{C3380CC4-5D6E-409C-BE32-E72D297353CC}">
                <c16:uniqueId val="{00000003-3306-43D1-A281-AEAFC2A16C60}"/>
              </c:ext>
            </c:extLst>
          </c:dPt>
          <c:dPt>
            <c:idx val="2"/>
            <c:bubble3D val="0"/>
            <c:spPr>
              <a:solidFill>
                <a:schemeClr val="accent3"/>
              </a:solidFill>
              <a:ln w="25400">
                <a:solidFill>
                  <a:schemeClr val="lt1"/>
                </a:solidFill>
              </a:ln>
              <a:effectLst/>
              <a:sp3d contourW="25400">
                <a:contourClr>
                  <a:schemeClr val="lt1"/>
                </a:contourClr>
              </a:sp3d>
            </c:spPr>
            <c:extLst>
              <c:ext xmlns:c16="http://schemas.microsoft.com/office/drawing/2014/chart" uri="{C3380CC4-5D6E-409C-BE32-E72D297353CC}">
                <c16:uniqueId val="{00000005-3306-43D1-A281-AEAFC2A16C60}"/>
              </c:ext>
            </c:extLst>
          </c:dPt>
          <c:dPt>
            <c:idx val="3"/>
            <c:bubble3D val="0"/>
            <c:spPr>
              <a:solidFill>
                <a:schemeClr val="accent4"/>
              </a:solidFill>
              <a:ln w="25400">
                <a:solidFill>
                  <a:schemeClr val="lt1"/>
                </a:solidFill>
              </a:ln>
              <a:effectLst/>
              <a:sp3d contourW="25400">
                <a:contourClr>
                  <a:schemeClr val="lt1"/>
                </a:contourClr>
              </a:sp3d>
            </c:spPr>
            <c:extLst>
              <c:ext xmlns:c16="http://schemas.microsoft.com/office/drawing/2014/chart" uri="{C3380CC4-5D6E-409C-BE32-E72D297353CC}">
                <c16:uniqueId val="{00000007-3306-43D1-A281-AEAFC2A16C60}"/>
              </c:ext>
            </c:extLst>
          </c:dPt>
          <c:dPt>
            <c:idx val="4"/>
            <c:bubble3D val="0"/>
            <c:spPr>
              <a:solidFill>
                <a:schemeClr val="accent5"/>
              </a:solidFill>
              <a:ln w="25400">
                <a:solidFill>
                  <a:schemeClr val="lt1"/>
                </a:solidFill>
              </a:ln>
              <a:effectLst/>
              <a:sp3d contourW="25400">
                <a:contourClr>
                  <a:schemeClr val="lt1"/>
                </a:contourClr>
              </a:sp3d>
            </c:spPr>
            <c:extLst>
              <c:ext xmlns:c16="http://schemas.microsoft.com/office/drawing/2014/chart" uri="{C3380CC4-5D6E-409C-BE32-E72D297353CC}">
                <c16:uniqueId val="{00000009-3306-43D1-A281-AEAFC2A16C60}"/>
              </c:ext>
            </c:extLst>
          </c:dPt>
          <c:dPt>
            <c:idx val="5"/>
            <c:bubble3D val="0"/>
            <c:spPr>
              <a:solidFill>
                <a:schemeClr val="accent6"/>
              </a:solidFill>
              <a:ln w="25400">
                <a:solidFill>
                  <a:schemeClr val="lt1"/>
                </a:solidFill>
              </a:ln>
              <a:effectLst/>
              <a:sp3d contourW="25400">
                <a:contourClr>
                  <a:schemeClr val="lt1"/>
                </a:contourClr>
              </a:sp3d>
            </c:spPr>
            <c:extLst>
              <c:ext xmlns:c16="http://schemas.microsoft.com/office/drawing/2014/chart" uri="{C3380CC4-5D6E-409C-BE32-E72D297353CC}">
                <c16:uniqueId val="{0000000B-3306-43D1-A281-AEAFC2A16C60}"/>
              </c:ext>
            </c:extLst>
          </c:dPt>
          <c:dPt>
            <c:idx val="6"/>
            <c:bubble3D val="0"/>
            <c:spPr>
              <a:solidFill>
                <a:schemeClr val="accent1">
                  <a:lumMod val="6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D-3306-43D1-A281-AEAFC2A16C60}"/>
              </c:ext>
            </c:extLst>
          </c:dPt>
          <c:dLbls>
            <c:dLbl>
              <c:idx val="0"/>
              <c:layout>
                <c:manualLayout>
                  <c:x val="-0.16504429133858267"/>
                  <c:y val="7.7637262347282729E-2"/>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fi-FI"/>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3306-43D1-A281-AEAFC2A16C60}"/>
                </c:ext>
              </c:extLst>
            </c:dLbl>
            <c:dLbl>
              <c:idx val="6"/>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fi-FI"/>
                </a:p>
              </c:txPr>
              <c:showLegendKey val="0"/>
              <c:showVal val="0"/>
              <c:showCatName val="1"/>
              <c:showSerName val="0"/>
              <c:showPercent val="1"/>
              <c:showBubbleSize val="0"/>
              <c:extLst>
                <c:ext xmlns:c16="http://schemas.microsoft.com/office/drawing/2014/chart" uri="{C3380CC4-5D6E-409C-BE32-E72D297353CC}">
                  <c16:uniqueId val="{0000000D-3306-43D1-A281-AEAFC2A16C6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i-FI"/>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Maidontuotantokustannus!$K$49:$K$55</c:f>
              <c:strCache>
                <c:ptCount val="7"/>
                <c:pt idx="0">
                  <c:v>   Säilörehu</c:v>
                </c:pt>
                <c:pt idx="1">
                  <c:v>   Rehuvilja</c:v>
                </c:pt>
                <c:pt idx="2">
                  <c:v>Ostorehut</c:v>
                </c:pt>
                <c:pt idx="3">
                  <c:v>Eläinten ostot</c:v>
                </c:pt>
                <c:pt idx="4">
                  <c:v>Muut muuttuvat yht.</c:v>
                </c:pt>
                <c:pt idx="5">
                  <c:v>Työkustannus</c:v>
                </c:pt>
                <c:pt idx="6">
                  <c:v>Kiinteät kustannukset</c:v>
                </c:pt>
              </c:strCache>
            </c:strRef>
          </c:cat>
          <c:val>
            <c:numRef>
              <c:f>Maidontuotantokustannus!$L$49:$L$55</c:f>
              <c:numCache>
                <c:formatCode>0.000</c:formatCode>
                <c:ptCount val="7"/>
                <c:pt idx="0">
                  <c:v>10.192594257774278</c:v>
                </c:pt>
                <c:pt idx="1">
                  <c:v>0</c:v>
                </c:pt>
                <c:pt idx="2">
                  <c:v>1.0345788241773273</c:v>
                </c:pt>
                <c:pt idx="3">
                  <c:v>0</c:v>
                </c:pt>
                <c:pt idx="4">
                  <c:v>12.033463428519049</c:v>
                </c:pt>
                <c:pt idx="5">
                  <c:v>25.137610483409372</c:v>
                </c:pt>
                <c:pt idx="6">
                  <c:v>13.998196350727298</c:v>
                </c:pt>
              </c:numCache>
            </c:numRef>
          </c:val>
          <c:extLst>
            <c:ext xmlns:c16="http://schemas.microsoft.com/office/drawing/2014/chart" uri="{C3380CC4-5D6E-409C-BE32-E72D297353CC}">
              <c16:uniqueId val="{0000000E-3306-43D1-A281-AEAFC2A16C60}"/>
            </c:ext>
          </c:extLst>
        </c:ser>
        <c:dLbls>
          <c:showLegendKey val="0"/>
          <c:showVal val="1"/>
          <c:showCatName val="0"/>
          <c:showSerName val="0"/>
          <c:showPercent val="0"/>
          <c:showBubbleSize val="0"/>
          <c:showLeaderLines val="1"/>
        </c:dLbls>
      </c:pie3D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i-FI"/>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all" spc="120" normalizeH="0" baseline="0">
                <a:solidFill>
                  <a:schemeClr val="tx1">
                    <a:lumMod val="65000"/>
                    <a:lumOff val="35000"/>
                  </a:schemeClr>
                </a:solidFill>
                <a:latin typeface="+mn-lt"/>
                <a:ea typeface="+mn-ea"/>
                <a:cs typeface="+mn-cs"/>
              </a:defRPr>
            </a:pPr>
            <a:r>
              <a:rPr lang="en-US"/>
              <a:t>Kotieläintuotannon</a:t>
            </a:r>
            <a:r>
              <a:rPr lang="en-US" baseline="0"/>
              <a:t> </a:t>
            </a:r>
            <a:r>
              <a:rPr lang="en-US" sz="1600" b="1" i="0" u="none" strike="noStrike" cap="all" normalizeH="0" baseline="0">
                <a:effectLst/>
              </a:rPr>
              <a:t>katetuotto</a:t>
            </a:r>
            <a:r>
              <a:rPr lang="en-US" baseline="0"/>
              <a:t> €/eläin</a:t>
            </a:r>
            <a:endParaRPr lang="en-US"/>
          </a:p>
        </c:rich>
      </c:tx>
      <c:overlay val="0"/>
      <c:spPr>
        <a:noFill/>
        <a:ln>
          <a:noFill/>
        </a:ln>
        <a:effectLst/>
      </c:spPr>
      <c:txPr>
        <a:bodyPr rot="0" spcFirstLastPara="1" vertOverflow="ellipsis" vert="horz" wrap="square" anchor="ctr" anchorCtr="1"/>
        <a:lstStyle/>
        <a:p>
          <a:pPr>
            <a:defRPr sz="1600" b="1" i="0" u="none" strike="noStrike" kern="1200" cap="all" spc="120" normalizeH="0" baseline="0">
              <a:solidFill>
                <a:schemeClr val="tx1">
                  <a:lumMod val="65000"/>
                  <a:lumOff val="35000"/>
                </a:schemeClr>
              </a:solidFill>
              <a:latin typeface="+mn-lt"/>
              <a:ea typeface="+mn-ea"/>
              <a:cs typeface="+mn-cs"/>
            </a:defRPr>
          </a:pPr>
          <a:endParaRPr lang="fi-FI"/>
        </a:p>
      </c:txPr>
    </c:title>
    <c:autoTitleDeleted val="0"/>
    <c:plotArea>
      <c:layout>
        <c:manualLayout>
          <c:layoutTarget val="inner"/>
          <c:xMode val="edge"/>
          <c:yMode val="edge"/>
          <c:x val="7.7453961130007298E-2"/>
          <c:y val="0.13150516899673254"/>
          <c:w val="0.73644477774783157"/>
          <c:h val="0.77933535239375351"/>
        </c:manualLayout>
      </c:layout>
      <c:barChart>
        <c:barDir val="col"/>
        <c:grouping val="clustered"/>
        <c:varyColors val="0"/>
        <c:ser>
          <c:idx val="0"/>
          <c:order val="0"/>
          <c:tx>
            <c:strRef>
              <c:f>Maidontuotantokustannus!$B$42</c:f>
              <c:strCache>
                <c:ptCount val="1"/>
                <c:pt idx="0">
                  <c:v>Katetuotto A</c:v>
                </c:pt>
              </c:strCache>
            </c:strRef>
          </c:tx>
          <c:spPr>
            <a:solidFill>
              <a:schemeClr val="accent4">
                <a:lumMod val="20000"/>
                <a:lumOff val="80000"/>
              </a:schemeClr>
            </a:solidFill>
            <a:ln>
              <a:noFill/>
            </a:ln>
            <a:effectLst/>
          </c:spPr>
          <c:invertIfNegative val="0"/>
          <c:cat>
            <c:strRef>
              <c:f>Maidontuotantokustannus!$E$39:$G$39</c:f>
              <c:strCache>
                <c:ptCount val="3"/>
                <c:pt idx="0">
                  <c:v>Oma laskelma</c:v>
                </c:pt>
                <c:pt idx="1">
                  <c:v>Hyvä</c:v>
                </c:pt>
                <c:pt idx="2">
                  <c:v>Erinomainen</c:v>
                </c:pt>
              </c:strCache>
            </c:strRef>
          </c:cat>
          <c:val>
            <c:numRef>
              <c:f>Maidontuotantokustannus!$E$42:$G$42</c:f>
              <c:numCache>
                <c:formatCode>#,##0</c:formatCode>
                <c:ptCount val="3"/>
                <c:pt idx="0">
                  <c:v>2434.5786654749008</c:v>
                </c:pt>
                <c:pt idx="1">
                  <c:v>1252.5239567346939</c:v>
                </c:pt>
                <c:pt idx="2">
                  <c:v>2945.7460863265305</c:v>
                </c:pt>
              </c:numCache>
            </c:numRef>
          </c:val>
          <c:extLst>
            <c:ext xmlns:c16="http://schemas.microsoft.com/office/drawing/2014/chart" uri="{C3380CC4-5D6E-409C-BE32-E72D297353CC}">
              <c16:uniqueId val="{00000000-7BF4-4E8A-8334-26295571EF9C}"/>
            </c:ext>
          </c:extLst>
        </c:ser>
        <c:ser>
          <c:idx val="1"/>
          <c:order val="1"/>
          <c:tx>
            <c:strRef>
              <c:f>Maidontuotantokustannus!$B$44</c:f>
              <c:strCache>
                <c:ptCount val="1"/>
                <c:pt idx="0">
                  <c:v>Katetuotto B</c:v>
                </c:pt>
              </c:strCache>
            </c:strRef>
          </c:tx>
          <c:spPr>
            <a:solidFill>
              <a:schemeClr val="accent4">
                <a:lumMod val="60000"/>
                <a:lumOff val="40000"/>
              </a:schemeClr>
            </a:solidFill>
            <a:ln>
              <a:noFill/>
            </a:ln>
            <a:effectLst/>
          </c:spPr>
          <c:invertIfNegative val="0"/>
          <c:cat>
            <c:strRef>
              <c:f>Maidontuotantokustannus!$E$39:$G$39</c:f>
              <c:strCache>
                <c:ptCount val="3"/>
                <c:pt idx="0">
                  <c:v>Oma laskelma</c:v>
                </c:pt>
                <c:pt idx="1">
                  <c:v>Hyvä</c:v>
                </c:pt>
                <c:pt idx="2">
                  <c:v>Erinomainen</c:v>
                </c:pt>
              </c:strCache>
            </c:strRef>
          </c:cat>
          <c:val>
            <c:numRef>
              <c:f>Maidontuotantokustannus!$E$44:$G$44</c:f>
              <c:numCache>
                <c:formatCode>#,##0</c:formatCode>
                <c:ptCount val="3"/>
                <c:pt idx="0">
                  <c:v>883.32866547490084</c:v>
                </c:pt>
                <c:pt idx="1">
                  <c:v>814.52395673469391</c:v>
                </c:pt>
                <c:pt idx="2">
                  <c:v>2552.067514897959</c:v>
                </c:pt>
              </c:numCache>
            </c:numRef>
          </c:val>
          <c:extLst>
            <c:ext xmlns:c16="http://schemas.microsoft.com/office/drawing/2014/chart" uri="{C3380CC4-5D6E-409C-BE32-E72D297353CC}">
              <c16:uniqueId val="{00000001-7BF4-4E8A-8334-26295571EF9C}"/>
            </c:ext>
          </c:extLst>
        </c:ser>
        <c:ser>
          <c:idx val="2"/>
          <c:order val="2"/>
          <c:tx>
            <c:strRef>
              <c:f>Maidontuotantokustannus!$B$46</c:f>
              <c:strCache>
                <c:ptCount val="1"/>
                <c:pt idx="0">
                  <c:v>Katetuotto C</c:v>
                </c:pt>
              </c:strCache>
            </c:strRef>
          </c:tx>
          <c:spPr>
            <a:solidFill>
              <a:schemeClr val="accent4">
                <a:lumMod val="75000"/>
              </a:schemeClr>
            </a:solidFill>
            <a:ln>
              <a:noFill/>
            </a:ln>
            <a:effectLst/>
          </c:spPr>
          <c:invertIfNegative val="0"/>
          <c:cat>
            <c:strRef>
              <c:f>Maidontuotantokustannus!$E$39:$G$39</c:f>
              <c:strCache>
                <c:ptCount val="3"/>
                <c:pt idx="0">
                  <c:v>Oma laskelma</c:v>
                </c:pt>
                <c:pt idx="1">
                  <c:v>Hyvä</c:v>
                </c:pt>
                <c:pt idx="2">
                  <c:v>Erinomainen</c:v>
                </c:pt>
              </c:strCache>
            </c:strRef>
          </c:cat>
          <c:val>
            <c:numRef>
              <c:f>Maidontuotantokustannus!$E$46:$G$46</c:f>
              <c:numCache>
                <c:formatCode>#,##0</c:formatCode>
                <c:ptCount val="3"/>
                <c:pt idx="0">
                  <c:v>19.4954819908437</c:v>
                </c:pt>
                <c:pt idx="1">
                  <c:v>-238.04747183673453</c:v>
                </c:pt>
                <c:pt idx="2">
                  <c:v>744.01989585033994</c:v>
                </c:pt>
              </c:numCache>
            </c:numRef>
          </c:val>
          <c:extLst>
            <c:ext xmlns:c16="http://schemas.microsoft.com/office/drawing/2014/chart" uri="{C3380CC4-5D6E-409C-BE32-E72D297353CC}">
              <c16:uniqueId val="{00000002-7BF4-4E8A-8334-26295571EF9C}"/>
            </c:ext>
          </c:extLst>
        </c:ser>
        <c:dLbls>
          <c:showLegendKey val="0"/>
          <c:showVal val="0"/>
          <c:showCatName val="0"/>
          <c:showSerName val="0"/>
          <c:showPercent val="0"/>
          <c:showBubbleSize val="0"/>
        </c:dLbls>
        <c:gapWidth val="200"/>
        <c:axId val="778536440"/>
        <c:axId val="778535264"/>
        <c:extLst/>
      </c:barChart>
      <c:catAx>
        <c:axId val="778536440"/>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cap="all" spc="120" normalizeH="0" baseline="0">
                <a:solidFill>
                  <a:schemeClr val="tx1">
                    <a:lumMod val="65000"/>
                    <a:lumOff val="35000"/>
                  </a:schemeClr>
                </a:solidFill>
                <a:latin typeface="+mn-lt"/>
                <a:ea typeface="+mn-ea"/>
                <a:cs typeface="+mn-cs"/>
              </a:defRPr>
            </a:pPr>
            <a:endParaRPr lang="fi-FI"/>
          </a:p>
        </c:txPr>
        <c:crossAx val="778535264"/>
        <c:crosses val="autoZero"/>
        <c:auto val="1"/>
        <c:lblAlgn val="ctr"/>
        <c:lblOffset val="100"/>
        <c:noMultiLvlLbl val="0"/>
      </c:catAx>
      <c:valAx>
        <c:axId val="77853526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out"/>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crossAx val="778536440"/>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legend>
    <c:plotVisOnly val="1"/>
    <c:dispBlanksAs val="gap"/>
    <c:showDLblsOverMax val="0"/>
  </c:chart>
  <c:spPr>
    <a:solidFill>
      <a:schemeClr val="bg1"/>
    </a:solidFill>
    <a:ln w="9525" cap="flat" cmpd="sng" algn="ctr">
      <a:noFill/>
      <a:round/>
    </a:ln>
    <a:effectLst/>
  </c:spPr>
  <c:txPr>
    <a:bodyPr/>
    <a:lstStyle/>
    <a:p>
      <a:pPr>
        <a:defRPr/>
      </a:pPr>
      <a:endParaRPr lang="fi-FI"/>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000" b="0" i="0" u="none" strike="noStrike" kern="1200" spc="0" baseline="0">
                <a:solidFill>
                  <a:schemeClr val="tx1">
                    <a:lumMod val="65000"/>
                    <a:lumOff val="35000"/>
                  </a:schemeClr>
                </a:solidFill>
                <a:latin typeface="+mn-lt"/>
                <a:ea typeface="+mn-ea"/>
                <a:cs typeface="+mn-cs"/>
              </a:defRPr>
            </a:pPr>
            <a:r>
              <a:rPr lang="fi-FI" sz="2000"/>
              <a:t>Emolehmän</a:t>
            </a:r>
            <a:r>
              <a:rPr lang="fi-FI" sz="2000" baseline="0"/>
              <a:t> t</a:t>
            </a:r>
            <a:r>
              <a:rPr lang="fi-FI" sz="2000"/>
              <a:t>uotantokustannusvertailu, snt/kg</a:t>
            </a:r>
          </a:p>
        </c:rich>
      </c:tx>
      <c:overlay val="0"/>
      <c:spPr>
        <a:noFill/>
        <a:ln>
          <a:noFill/>
        </a:ln>
        <a:effectLst/>
      </c:spPr>
      <c:txPr>
        <a:bodyPr rot="0" spcFirstLastPara="1" vertOverflow="ellipsis" vert="horz" wrap="square" anchor="ctr" anchorCtr="1"/>
        <a:lstStyle/>
        <a:p>
          <a:pPr>
            <a:defRPr sz="2000" b="0" i="0" u="none" strike="noStrike" kern="1200" spc="0" baseline="0">
              <a:solidFill>
                <a:schemeClr val="tx1">
                  <a:lumMod val="65000"/>
                  <a:lumOff val="35000"/>
                </a:schemeClr>
              </a:solidFill>
              <a:latin typeface="+mn-lt"/>
              <a:ea typeface="+mn-ea"/>
              <a:cs typeface="+mn-cs"/>
            </a:defRPr>
          </a:pPr>
          <a:endParaRPr lang="fi-FI"/>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9.5588180509694351E-2"/>
          <c:y val="0.17507572160926194"/>
          <c:w val="0.88505698078062822"/>
          <c:h val="0.61498432487605714"/>
        </c:manualLayout>
      </c:layout>
      <c:bar3DChart>
        <c:barDir val="col"/>
        <c:grouping val="stacked"/>
        <c:varyColors val="0"/>
        <c:ser>
          <c:idx val="2"/>
          <c:order val="0"/>
          <c:tx>
            <c:strRef>
              <c:f>'Emolehmän tuotantokustannus 1'!$T$55</c:f>
              <c:strCache>
                <c:ptCount val="1"/>
                <c:pt idx="0">
                  <c:v>Kiinteät kustannukset</c:v>
                </c:pt>
              </c:strCache>
            </c:strRef>
          </c:tx>
          <c:spPr>
            <a:solidFill>
              <a:schemeClr val="accent3"/>
            </a:solidFill>
            <a:ln>
              <a:noFill/>
            </a:ln>
            <a:effectLst/>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i-FI"/>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'Emolehmän tuotantokustannus 1'!$U$52:$W$52</c:f>
              <c:strCache>
                <c:ptCount val="3"/>
                <c:pt idx="0">
                  <c:v>Oma laskelma</c:v>
                </c:pt>
                <c:pt idx="1">
                  <c:v>Hyvä</c:v>
                </c:pt>
                <c:pt idx="2">
                  <c:v>Erinomainen</c:v>
                </c:pt>
              </c:strCache>
            </c:strRef>
          </c:cat>
          <c:val>
            <c:numRef>
              <c:f>'Emolehmän tuotantokustannus 1'!$U$55:$W$55</c:f>
              <c:numCache>
                <c:formatCode>0</c:formatCode>
                <c:ptCount val="3"/>
                <c:pt idx="0">
                  <c:v>0</c:v>
                </c:pt>
                <c:pt idx="1">
                  <c:v>0</c:v>
                </c:pt>
                <c:pt idx="2">
                  <c:v>0</c:v>
                </c:pt>
              </c:numCache>
            </c:numRef>
          </c:val>
          <c:extLst>
            <c:ext xmlns:c16="http://schemas.microsoft.com/office/drawing/2014/chart" uri="{C3380CC4-5D6E-409C-BE32-E72D297353CC}">
              <c16:uniqueId val="{00000000-9CE4-439E-BE0B-FFFE393F615A}"/>
            </c:ext>
          </c:extLst>
        </c:ser>
        <c:ser>
          <c:idx val="1"/>
          <c:order val="1"/>
          <c:tx>
            <c:strRef>
              <c:f>'Emolehmän tuotantokustannus 1'!$T$54</c:f>
              <c:strCache>
                <c:ptCount val="1"/>
                <c:pt idx="0">
                  <c:v>Työkustannus</c:v>
                </c:pt>
              </c:strCache>
            </c:strRef>
          </c:tx>
          <c:spPr>
            <a:solidFill>
              <a:schemeClr val="accent2"/>
            </a:solidFill>
            <a:ln>
              <a:noFill/>
            </a:ln>
            <a:effectLst/>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i-FI"/>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'Emolehmän tuotantokustannus 1'!$U$52:$W$52</c:f>
              <c:strCache>
                <c:ptCount val="3"/>
                <c:pt idx="0">
                  <c:v>Oma laskelma</c:v>
                </c:pt>
                <c:pt idx="1">
                  <c:v>Hyvä</c:v>
                </c:pt>
                <c:pt idx="2">
                  <c:v>Erinomainen</c:v>
                </c:pt>
              </c:strCache>
            </c:strRef>
          </c:cat>
          <c:val>
            <c:numRef>
              <c:f>'Emolehmän tuotantokustannus 1'!$U$54:$W$54</c:f>
              <c:numCache>
                <c:formatCode>0</c:formatCode>
                <c:ptCount val="3"/>
                <c:pt idx="0">
                  <c:v>0</c:v>
                </c:pt>
                <c:pt idx="1">
                  <c:v>0</c:v>
                </c:pt>
                <c:pt idx="2">
                  <c:v>0</c:v>
                </c:pt>
              </c:numCache>
            </c:numRef>
          </c:val>
          <c:extLst>
            <c:ext xmlns:c16="http://schemas.microsoft.com/office/drawing/2014/chart" uri="{C3380CC4-5D6E-409C-BE32-E72D297353CC}">
              <c16:uniqueId val="{00000001-9CE4-439E-BE0B-FFFE393F615A}"/>
            </c:ext>
          </c:extLst>
        </c:ser>
        <c:ser>
          <c:idx val="0"/>
          <c:order val="2"/>
          <c:tx>
            <c:strRef>
              <c:f>'Emolehmän tuotantokustannus 1'!$T$53</c:f>
              <c:strCache>
                <c:ptCount val="1"/>
                <c:pt idx="0">
                  <c:v>Muuttuvat kustannukset</c:v>
                </c:pt>
              </c:strCache>
            </c:strRef>
          </c:tx>
          <c:spPr>
            <a:solidFill>
              <a:schemeClr val="accent1"/>
            </a:solidFill>
            <a:ln>
              <a:noFill/>
            </a:ln>
            <a:effectLst/>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i-FI"/>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'Emolehmän tuotantokustannus 1'!$U$52:$W$52</c:f>
              <c:strCache>
                <c:ptCount val="3"/>
                <c:pt idx="0">
                  <c:v>Oma laskelma</c:v>
                </c:pt>
                <c:pt idx="1">
                  <c:v>Hyvä</c:v>
                </c:pt>
                <c:pt idx="2">
                  <c:v>Erinomainen</c:v>
                </c:pt>
              </c:strCache>
            </c:strRef>
          </c:cat>
          <c:val>
            <c:numRef>
              <c:f>'Emolehmän tuotantokustannus 1'!$U$53:$W$53</c:f>
              <c:numCache>
                <c:formatCode>0</c:formatCode>
                <c:ptCount val="3"/>
                <c:pt idx="0">
                  <c:v>0</c:v>
                </c:pt>
                <c:pt idx="1">
                  <c:v>0</c:v>
                </c:pt>
                <c:pt idx="2">
                  <c:v>0</c:v>
                </c:pt>
              </c:numCache>
            </c:numRef>
          </c:val>
          <c:extLst>
            <c:ext xmlns:c16="http://schemas.microsoft.com/office/drawing/2014/chart" uri="{C3380CC4-5D6E-409C-BE32-E72D297353CC}">
              <c16:uniqueId val="{00000002-9CE4-439E-BE0B-FFFE393F615A}"/>
            </c:ext>
          </c:extLst>
        </c:ser>
        <c:dLbls>
          <c:showLegendKey val="0"/>
          <c:showVal val="1"/>
          <c:showCatName val="0"/>
          <c:showSerName val="0"/>
          <c:showPercent val="0"/>
          <c:showBubbleSize val="0"/>
        </c:dLbls>
        <c:gapWidth val="100"/>
        <c:gapDepth val="0"/>
        <c:shape val="cylinder"/>
        <c:axId val="778539576"/>
        <c:axId val="778540752"/>
        <c:axId val="0"/>
      </c:bar3DChart>
      <c:catAx>
        <c:axId val="778539576"/>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bg1"/>
                </a:solidFill>
                <a:latin typeface="+mn-lt"/>
                <a:ea typeface="+mn-ea"/>
                <a:cs typeface="+mn-cs"/>
              </a:defRPr>
            </a:pPr>
            <a:endParaRPr lang="fi-FI"/>
          </a:p>
        </c:txPr>
        <c:crossAx val="778540752"/>
        <c:crosses val="autoZero"/>
        <c:auto val="1"/>
        <c:lblAlgn val="ctr"/>
        <c:lblOffset val="100"/>
        <c:noMultiLvlLbl val="0"/>
      </c:catAx>
      <c:valAx>
        <c:axId val="77854075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bg1"/>
                </a:solidFill>
                <a:latin typeface="+mn-lt"/>
                <a:ea typeface="+mn-ea"/>
                <a:cs typeface="+mn-cs"/>
              </a:defRPr>
            </a:pPr>
            <a:endParaRPr lang="fi-FI"/>
          </a:p>
        </c:txPr>
        <c:crossAx val="778539576"/>
        <c:crosses val="autoZero"/>
        <c:crossBetween val="between"/>
      </c:valAx>
      <c:spPr>
        <a:blipFill dpi="0" rotWithShape="1">
          <a:blip xmlns:r="http://schemas.openxmlformats.org/officeDocument/2006/relationships" r:embed="rId3" cstate="print">
            <a:extLst>
              <a:ext uri="{28A0092B-C50C-407E-A947-70E740481C1C}">
                <a14:useLocalDpi xmlns:a14="http://schemas.microsoft.com/office/drawing/2010/main" val="0"/>
              </a:ext>
            </a:extLst>
          </a:blip>
          <a:srcRect/>
          <a:stretch>
            <a:fillRect/>
          </a:stretch>
        </a:blipFill>
        <a:ln>
          <a:noFill/>
        </a:ln>
        <a:effectLst/>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fi-F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i-FI"/>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rgbClr val="FF66FF"/>
              </a:solidFill>
              <a:ln w="25400">
                <a:solidFill>
                  <a:schemeClr val="lt1"/>
                </a:solidFill>
              </a:ln>
              <a:effectLst/>
              <a:sp3d contourW="25400">
                <a:contourClr>
                  <a:schemeClr val="lt1"/>
                </a:contourClr>
              </a:sp3d>
            </c:spPr>
            <c:extLst>
              <c:ext xmlns:c16="http://schemas.microsoft.com/office/drawing/2014/chart" uri="{C3380CC4-5D6E-409C-BE32-E72D297353CC}">
                <c16:uniqueId val="{00000001-3374-464B-A236-97375C304849}"/>
              </c:ext>
            </c:extLst>
          </c:dPt>
          <c:dPt>
            <c:idx val="1"/>
            <c:bubble3D val="0"/>
            <c:spPr>
              <a:solidFill>
                <a:schemeClr val="accent2"/>
              </a:solidFill>
              <a:ln w="25400">
                <a:solidFill>
                  <a:schemeClr val="lt1"/>
                </a:solidFill>
              </a:ln>
              <a:effectLst/>
              <a:sp3d contourW="25400">
                <a:contourClr>
                  <a:schemeClr val="lt1"/>
                </a:contourClr>
              </a:sp3d>
            </c:spPr>
            <c:extLst>
              <c:ext xmlns:c16="http://schemas.microsoft.com/office/drawing/2014/chart" uri="{C3380CC4-5D6E-409C-BE32-E72D297353CC}">
                <c16:uniqueId val="{00000003-3374-464B-A236-97375C304849}"/>
              </c:ext>
            </c:extLst>
          </c:dPt>
          <c:dPt>
            <c:idx val="2"/>
            <c:bubble3D val="0"/>
            <c:spPr>
              <a:solidFill>
                <a:schemeClr val="accent3"/>
              </a:solidFill>
              <a:ln w="25400">
                <a:solidFill>
                  <a:schemeClr val="lt1"/>
                </a:solidFill>
              </a:ln>
              <a:effectLst/>
              <a:sp3d contourW="25400">
                <a:contourClr>
                  <a:schemeClr val="lt1"/>
                </a:contourClr>
              </a:sp3d>
            </c:spPr>
            <c:extLst>
              <c:ext xmlns:c16="http://schemas.microsoft.com/office/drawing/2014/chart" uri="{C3380CC4-5D6E-409C-BE32-E72D297353CC}">
                <c16:uniqueId val="{00000005-3374-464B-A236-97375C304849}"/>
              </c:ext>
            </c:extLst>
          </c:dPt>
          <c:dPt>
            <c:idx val="3"/>
            <c:bubble3D val="0"/>
            <c:spPr>
              <a:solidFill>
                <a:schemeClr val="accent4"/>
              </a:solidFill>
              <a:ln w="25400">
                <a:solidFill>
                  <a:schemeClr val="lt1"/>
                </a:solidFill>
              </a:ln>
              <a:effectLst/>
              <a:sp3d contourW="25400">
                <a:contourClr>
                  <a:schemeClr val="lt1"/>
                </a:contourClr>
              </a:sp3d>
            </c:spPr>
            <c:extLst>
              <c:ext xmlns:c16="http://schemas.microsoft.com/office/drawing/2014/chart" uri="{C3380CC4-5D6E-409C-BE32-E72D297353CC}">
                <c16:uniqueId val="{00000007-3374-464B-A236-97375C304849}"/>
              </c:ext>
            </c:extLst>
          </c:dPt>
          <c:dLbls>
            <c:dLbl>
              <c:idx val="1"/>
              <c:layout>
                <c:manualLayout>
                  <c:x val="-0.15630885122410546"/>
                  <c:y val="6.8364261484858248E-3"/>
                </c:manualLayout>
              </c:layout>
              <c:showLegendKey val="0"/>
              <c:showVal val="0"/>
              <c:showCatName val="1"/>
              <c:showSerName val="0"/>
              <c:showPercent val="0"/>
              <c:showBubbleSize val="0"/>
              <c:extLst>
                <c:ext xmlns:c15="http://schemas.microsoft.com/office/drawing/2012/chart" uri="{CE6537A1-D6FC-4f65-9D91-7224C49458BB}">
                  <c15:layout>
                    <c:manualLayout>
                      <c:w val="0.3559322033898305"/>
                      <c:h val="0.21637426900584794"/>
                    </c:manualLayout>
                  </c15:layout>
                </c:ext>
                <c:ext xmlns:c16="http://schemas.microsoft.com/office/drawing/2014/chart" uri="{C3380CC4-5D6E-409C-BE32-E72D297353CC}">
                  <c16:uniqueId val="{00000003-3374-464B-A236-97375C304849}"/>
                </c:ext>
              </c:extLst>
            </c:dLbl>
            <c:dLbl>
              <c:idx val="2"/>
              <c:delete val="1"/>
              <c:extLst>
                <c:ext xmlns:c15="http://schemas.microsoft.com/office/drawing/2012/chart" uri="{CE6537A1-D6FC-4f65-9D91-7224C49458BB}"/>
                <c:ext xmlns:c16="http://schemas.microsoft.com/office/drawing/2014/chart" uri="{C3380CC4-5D6E-409C-BE32-E72D297353CC}">
                  <c16:uniqueId val="{00000005-3374-464B-A236-97375C304849}"/>
                </c:ext>
              </c:extLst>
            </c:dLbl>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mn-lt"/>
                    <a:ea typeface="+mn-ea"/>
                    <a:cs typeface="+mn-cs"/>
                  </a:defRPr>
                </a:pPr>
                <a:endParaRPr lang="fi-FI"/>
              </a:p>
            </c:txPr>
            <c:showLegendKey val="0"/>
            <c:showVal val="0"/>
            <c:showCatName val="1"/>
            <c:showSerName val="0"/>
            <c:showPercent val="0"/>
            <c:showBubbleSize val="0"/>
            <c:showLeaderLines val="0"/>
            <c:extLst>
              <c:ext xmlns:c15="http://schemas.microsoft.com/office/drawing/2012/chart" uri="{CE6537A1-D6FC-4f65-9D91-7224C49458BB}"/>
            </c:extLst>
          </c:dLbls>
          <c:cat>
            <c:strRef>
              <c:f>'Emolehmän tuotantokustannus 1'!$P$5:$P$8</c:f>
              <c:strCache>
                <c:ptCount val="4"/>
                <c:pt idx="0">
                  <c:v>Liha</c:v>
                </c:pt>
                <c:pt idx="1">
                  <c:v>Pihvi-vasikka</c:v>
                </c:pt>
                <c:pt idx="2">
                  <c:v>Muut</c:v>
                </c:pt>
                <c:pt idx="3">
                  <c:v>Tuet</c:v>
                </c:pt>
              </c:strCache>
            </c:strRef>
          </c:cat>
          <c:val>
            <c:numRef>
              <c:f>'Emolehmän tuotantokustannus 1'!$Q$5:$Q$8</c:f>
              <c:numCache>
                <c:formatCode>#,##0</c:formatCode>
                <c:ptCount val="4"/>
                <c:pt idx="0">
                  <c:v>0</c:v>
                </c:pt>
                <c:pt idx="1">
                  <c:v>0</c:v>
                </c:pt>
                <c:pt idx="2">
                  <c:v>0</c:v>
                </c:pt>
                <c:pt idx="3">
                  <c:v>0</c:v>
                </c:pt>
              </c:numCache>
            </c:numRef>
          </c:val>
          <c:extLst>
            <c:ext xmlns:c16="http://schemas.microsoft.com/office/drawing/2014/chart" uri="{C3380CC4-5D6E-409C-BE32-E72D297353CC}">
              <c16:uniqueId val="{00000008-3374-464B-A236-97375C304849}"/>
            </c:ext>
          </c:extLst>
        </c:ser>
        <c:dLbls>
          <c:showLegendKey val="0"/>
          <c:showVal val="0"/>
          <c:showCatName val="0"/>
          <c:showSerName val="0"/>
          <c:showPercent val="0"/>
          <c:showBubbleSize val="0"/>
          <c:showLeaderLines val="0"/>
        </c:dLbls>
      </c:pie3DChart>
      <c:spPr>
        <a:noFill/>
        <a:ln>
          <a:noFill/>
        </a:ln>
        <a:effectLst/>
      </c:spPr>
    </c:plotArea>
    <c:plotVisOnly val="1"/>
    <c:dispBlanksAs val="gap"/>
    <c:showDLblsOverMax val="0"/>
  </c:chart>
  <c:spPr>
    <a:noFill/>
    <a:ln w="9525" cap="flat" cmpd="sng" algn="ctr">
      <a:noFill/>
      <a:round/>
    </a:ln>
    <a:effectLst/>
  </c:spPr>
  <c:txPr>
    <a:bodyPr/>
    <a:lstStyle/>
    <a:p>
      <a:pPr>
        <a:defRPr sz="1000"/>
      </a:pPr>
      <a:endParaRPr lang="fi-FI"/>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000" b="0" i="0" u="none" strike="noStrike" kern="1200" spc="0" baseline="0">
                <a:solidFill>
                  <a:schemeClr val="tx1">
                    <a:lumMod val="65000"/>
                    <a:lumOff val="35000"/>
                  </a:schemeClr>
                </a:solidFill>
                <a:latin typeface="+mn-lt"/>
                <a:ea typeface="+mn-ea"/>
                <a:cs typeface="+mn-cs"/>
              </a:defRPr>
            </a:pPr>
            <a:r>
              <a:rPr lang="en-US" sz="2000"/>
              <a:t>Kotieläintuotantokustannuksen jakautuminen</a:t>
            </a:r>
          </a:p>
        </c:rich>
      </c:tx>
      <c:overlay val="0"/>
      <c:spPr>
        <a:noFill/>
        <a:ln>
          <a:noFill/>
        </a:ln>
        <a:effectLst/>
      </c:spPr>
      <c:txPr>
        <a:bodyPr rot="0" spcFirstLastPara="1" vertOverflow="ellipsis" vert="horz" wrap="square" anchor="ctr" anchorCtr="1"/>
        <a:lstStyle/>
        <a:p>
          <a:pPr>
            <a:defRPr sz="2000" b="0" i="0" u="none" strike="noStrike" kern="1200" spc="0" baseline="0">
              <a:solidFill>
                <a:schemeClr val="tx1">
                  <a:lumMod val="65000"/>
                  <a:lumOff val="35000"/>
                </a:schemeClr>
              </a:solidFill>
              <a:latin typeface="+mn-lt"/>
              <a:ea typeface="+mn-ea"/>
              <a:cs typeface="+mn-cs"/>
            </a:defRPr>
          </a:pPr>
          <a:endParaRPr lang="fi-FI"/>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blipFill dpi="0" rotWithShape="1">
                <a:blip xmlns:r="http://schemas.openxmlformats.org/officeDocument/2006/relationships" r:embed="rId3">
                  <a:extLst>
                    <a:ext uri="{28A0092B-C50C-407E-A947-70E740481C1C}">
                      <a14:useLocalDpi xmlns:a14="http://schemas.microsoft.com/office/drawing/2010/main" val="0"/>
                    </a:ext>
                  </a:extLst>
                </a:blip>
                <a:srcRect/>
                <a:stretch>
                  <a:fillRect/>
                </a:stretch>
              </a:blipFill>
              <a:ln w="25400">
                <a:solidFill>
                  <a:schemeClr val="lt1"/>
                </a:solidFill>
              </a:ln>
              <a:effectLst/>
              <a:sp3d contourW="25400">
                <a:contourClr>
                  <a:schemeClr val="lt1"/>
                </a:contourClr>
              </a:sp3d>
            </c:spPr>
            <c:extLst>
              <c:ext xmlns:c16="http://schemas.microsoft.com/office/drawing/2014/chart" uri="{C3380CC4-5D6E-409C-BE32-E72D297353CC}">
                <c16:uniqueId val="{00000001-FEFF-4E2E-A420-C089615B7574}"/>
              </c:ext>
            </c:extLst>
          </c:dPt>
          <c:dPt>
            <c:idx val="1"/>
            <c:bubble3D val="0"/>
            <c:spPr>
              <a:solidFill>
                <a:schemeClr val="accent2"/>
              </a:solidFill>
              <a:ln w="25400">
                <a:solidFill>
                  <a:schemeClr val="lt1"/>
                </a:solidFill>
              </a:ln>
              <a:effectLst/>
              <a:sp3d contourW="25400">
                <a:contourClr>
                  <a:schemeClr val="lt1"/>
                </a:contourClr>
              </a:sp3d>
            </c:spPr>
            <c:extLst>
              <c:ext xmlns:c16="http://schemas.microsoft.com/office/drawing/2014/chart" uri="{C3380CC4-5D6E-409C-BE32-E72D297353CC}">
                <c16:uniqueId val="{00000003-FEFF-4E2E-A420-C089615B7574}"/>
              </c:ext>
            </c:extLst>
          </c:dPt>
          <c:dPt>
            <c:idx val="2"/>
            <c:bubble3D val="0"/>
            <c:spPr>
              <a:solidFill>
                <a:schemeClr val="accent3"/>
              </a:solidFill>
              <a:ln w="25400">
                <a:solidFill>
                  <a:schemeClr val="lt1"/>
                </a:solidFill>
              </a:ln>
              <a:effectLst/>
              <a:sp3d contourW="25400">
                <a:contourClr>
                  <a:schemeClr val="lt1"/>
                </a:contourClr>
              </a:sp3d>
            </c:spPr>
            <c:extLst>
              <c:ext xmlns:c16="http://schemas.microsoft.com/office/drawing/2014/chart" uri="{C3380CC4-5D6E-409C-BE32-E72D297353CC}">
                <c16:uniqueId val="{00000005-FEFF-4E2E-A420-C089615B7574}"/>
              </c:ext>
            </c:extLst>
          </c:dPt>
          <c:dPt>
            <c:idx val="3"/>
            <c:bubble3D val="0"/>
            <c:spPr>
              <a:solidFill>
                <a:schemeClr val="accent4"/>
              </a:solidFill>
              <a:ln w="25400">
                <a:solidFill>
                  <a:schemeClr val="lt1"/>
                </a:solidFill>
              </a:ln>
              <a:effectLst/>
              <a:sp3d contourW="25400">
                <a:contourClr>
                  <a:schemeClr val="lt1"/>
                </a:contourClr>
              </a:sp3d>
            </c:spPr>
            <c:extLst>
              <c:ext xmlns:c16="http://schemas.microsoft.com/office/drawing/2014/chart" uri="{C3380CC4-5D6E-409C-BE32-E72D297353CC}">
                <c16:uniqueId val="{00000007-FEFF-4E2E-A420-C089615B7574}"/>
              </c:ext>
            </c:extLst>
          </c:dPt>
          <c:dPt>
            <c:idx val="4"/>
            <c:bubble3D val="0"/>
            <c:spPr>
              <a:solidFill>
                <a:schemeClr val="accent5"/>
              </a:solidFill>
              <a:ln w="25400">
                <a:solidFill>
                  <a:schemeClr val="lt1"/>
                </a:solidFill>
              </a:ln>
              <a:effectLst/>
              <a:sp3d contourW="25400">
                <a:contourClr>
                  <a:schemeClr val="lt1"/>
                </a:contourClr>
              </a:sp3d>
            </c:spPr>
            <c:extLst>
              <c:ext xmlns:c16="http://schemas.microsoft.com/office/drawing/2014/chart" uri="{C3380CC4-5D6E-409C-BE32-E72D297353CC}">
                <c16:uniqueId val="{00000009-FEFF-4E2E-A420-C089615B7574}"/>
              </c:ext>
            </c:extLst>
          </c:dPt>
          <c:dPt>
            <c:idx val="5"/>
            <c:bubble3D val="0"/>
            <c:spPr>
              <a:solidFill>
                <a:schemeClr val="accent6"/>
              </a:solidFill>
              <a:ln w="25400">
                <a:solidFill>
                  <a:schemeClr val="lt1"/>
                </a:solidFill>
              </a:ln>
              <a:effectLst/>
              <a:sp3d contourW="25400">
                <a:contourClr>
                  <a:schemeClr val="lt1"/>
                </a:contourClr>
              </a:sp3d>
            </c:spPr>
            <c:extLst>
              <c:ext xmlns:c16="http://schemas.microsoft.com/office/drawing/2014/chart" uri="{C3380CC4-5D6E-409C-BE32-E72D297353CC}">
                <c16:uniqueId val="{0000000B-FEFF-4E2E-A420-C089615B7574}"/>
              </c:ext>
            </c:extLst>
          </c:dPt>
          <c:dPt>
            <c:idx val="6"/>
            <c:bubble3D val="0"/>
            <c:spPr>
              <a:solidFill>
                <a:schemeClr val="accent1">
                  <a:lumMod val="6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D-FEFF-4E2E-A420-C089615B7574}"/>
              </c:ext>
            </c:extLst>
          </c:dPt>
          <c:dLbls>
            <c:dLbl>
              <c:idx val="0"/>
              <c:layout>
                <c:manualLayout>
                  <c:x val="-0.17430355059784194"/>
                  <c:y val="7.7637262347282729E-2"/>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fi-FI"/>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FEFF-4E2E-A420-C089615B7574}"/>
                </c:ext>
              </c:extLst>
            </c:dLbl>
            <c:dLbl>
              <c:idx val="6"/>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fi-FI"/>
                </a:p>
              </c:txPr>
              <c:showLegendKey val="0"/>
              <c:showVal val="0"/>
              <c:showCatName val="1"/>
              <c:showSerName val="0"/>
              <c:showPercent val="1"/>
              <c:showBubbleSize val="0"/>
              <c:extLst>
                <c:ext xmlns:c16="http://schemas.microsoft.com/office/drawing/2014/chart" uri="{C3380CC4-5D6E-409C-BE32-E72D297353CC}">
                  <c16:uniqueId val="{0000000D-FEFF-4E2E-A420-C089615B7574}"/>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i-FI"/>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'Emolehmän tuotantokustannus 1'!$K$49:$K$55</c:f>
              <c:strCache>
                <c:ptCount val="7"/>
                <c:pt idx="0">
                  <c:v>   Säilörehu</c:v>
                </c:pt>
                <c:pt idx="1">
                  <c:v>   Rehuvilja</c:v>
                </c:pt>
                <c:pt idx="2">
                  <c:v>Ostorehut</c:v>
                </c:pt>
                <c:pt idx="3">
                  <c:v>Eläinten ostot</c:v>
                </c:pt>
                <c:pt idx="4">
                  <c:v>Muut muuttuvat yht.</c:v>
                </c:pt>
                <c:pt idx="5">
                  <c:v>Työkustannus</c:v>
                </c:pt>
                <c:pt idx="6">
                  <c:v>Kiinteät kustannukset</c:v>
                </c:pt>
              </c:strCache>
            </c:strRef>
          </c:cat>
          <c:val>
            <c:numRef>
              <c:f>'Emolehmän tuotantokustannus 1'!$L$49:$L$55</c:f>
              <c:numCache>
                <c:formatCode>0.000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E-FEFF-4E2E-A420-C089615B7574}"/>
            </c:ext>
          </c:extLst>
        </c:ser>
        <c:dLbls>
          <c:showLegendKey val="0"/>
          <c:showVal val="1"/>
          <c:showCatName val="0"/>
          <c:showSerName val="0"/>
          <c:showPercent val="0"/>
          <c:showBubbleSize val="0"/>
          <c:showLeaderLines val="1"/>
        </c:dLbls>
      </c:pie3D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i-FI"/>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all" spc="120" normalizeH="0" baseline="0">
                <a:solidFill>
                  <a:schemeClr val="tx1">
                    <a:lumMod val="65000"/>
                    <a:lumOff val="35000"/>
                  </a:schemeClr>
                </a:solidFill>
                <a:latin typeface="+mn-lt"/>
                <a:ea typeface="+mn-ea"/>
                <a:cs typeface="+mn-cs"/>
              </a:defRPr>
            </a:pPr>
            <a:r>
              <a:rPr lang="en-US"/>
              <a:t>Kotieläintuotannon</a:t>
            </a:r>
            <a:r>
              <a:rPr lang="en-US" baseline="0"/>
              <a:t> </a:t>
            </a:r>
            <a:r>
              <a:rPr lang="en-US" sz="1600" b="1" i="0" u="none" strike="noStrike" cap="all" normalizeH="0" baseline="0">
                <a:effectLst/>
              </a:rPr>
              <a:t>katetuotto</a:t>
            </a:r>
            <a:r>
              <a:rPr lang="en-US" baseline="0"/>
              <a:t> €/eläin</a:t>
            </a:r>
            <a:endParaRPr lang="en-US"/>
          </a:p>
        </c:rich>
      </c:tx>
      <c:overlay val="0"/>
      <c:spPr>
        <a:noFill/>
        <a:ln>
          <a:noFill/>
        </a:ln>
        <a:effectLst/>
      </c:spPr>
      <c:txPr>
        <a:bodyPr rot="0" spcFirstLastPara="1" vertOverflow="ellipsis" vert="horz" wrap="square" anchor="ctr" anchorCtr="1"/>
        <a:lstStyle/>
        <a:p>
          <a:pPr>
            <a:defRPr sz="1600" b="1" i="0" u="none" strike="noStrike" kern="1200" cap="all" spc="120" normalizeH="0" baseline="0">
              <a:solidFill>
                <a:schemeClr val="tx1">
                  <a:lumMod val="65000"/>
                  <a:lumOff val="35000"/>
                </a:schemeClr>
              </a:solidFill>
              <a:latin typeface="+mn-lt"/>
              <a:ea typeface="+mn-ea"/>
              <a:cs typeface="+mn-cs"/>
            </a:defRPr>
          </a:pPr>
          <a:endParaRPr lang="fi-FI"/>
        </a:p>
      </c:txPr>
    </c:title>
    <c:autoTitleDeleted val="0"/>
    <c:plotArea>
      <c:layout>
        <c:manualLayout>
          <c:layoutTarget val="inner"/>
          <c:xMode val="edge"/>
          <c:yMode val="edge"/>
          <c:x val="7.7453961130007298E-2"/>
          <c:y val="0.13150516899673254"/>
          <c:w val="0.73644477774783157"/>
          <c:h val="0.77933535239375351"/>
        </c:manualLayout>
      </c:layout>
      <c:barChart>
        <c:barDir val="col"/>
        <c:grouping val="clustered"/>
        <c:varyColors val="0"/>
        <c:ser>
          <c:idx val="0"/>
          <c:order val="0"/>
          <c:tx>
            <c:strRef>
              <c:f>'Emolehmän tuotantokustannus 2'!$B$42</c:f>
              <c:strCache>
                <c:ptCount val="1"/>
                <c:pt idx="0">
                  <c:v>Katetuotto A</c:v>
                </c:pt>
              </c:strCache>
            </c:strRef>
          </c:tx>
          <c:spPr>
            <a:solidFill>
              <a:schemeClr val="accent4">
                <a:lumMod val="20000"/>
                <a:lumOff val="80000"/>
              </a:schemeClr>
            </a:solidFill>
            <a:ln>
              <a:noFill/>
            </a:ln>
            <a:effectLst/>
          </c:spPr>
          <c:invertIfNegative val="0"/>
          <c:cat>
            <c:strRef>
              <c:f>Maidontuotantokustannus!$E$39:$G$39</c:f>
              <c:strCache>
                <c:ptCount val="3"/>
                <c:pt idx="0">
                  <c:v>Oma laskelma</c:v>
                </c:pt>
                <c:pt idx="1">
                  <c:v>Hyvä</c:v>
                </c:pt>
                <c:pt idx="2">
                  <c:v>Erinomainen</c:v>
                </c:pt>
              </c:strCache>
            </c:strRef>
          </c:cat>
          <c:val>
            <c:numRef>
              <c:f>'Emolehmän tuotantokustannus 2'!$E$42:$G$42</c:f>
              <c:numCache>
                <c:formatCode>#,##0</c:formatCode>
                <c:ptCount val="3"/>
                <c:pt idx="0">
                  <c:v>0</c:v>
                </c:pt>
                <c:pt idx="1">
                  <c:v>0</c:v>
                </c:pt>
                <c:pt idx="2">
                  <c:v>0</c:v>
                </c:pt>
              </c:numCache>
            </c:numRef>
          </c:val>
          <c:extLst>
            <c:ext xmlns:c16="http://schemas.microsoft.com/office/drawing/2014/chart" uri="{C3380CC4-5D6E-409C-BE32-E72D297353CC}">
              <c16:uniqueId val="{00000000-7BF4-4E8A-8334-26295571EF9C}"/>
            </c:ext>
          </c:extLst>
        </c:ser>
        <c:ser>
          <c:idx val="1"/>
          <c:order val="1"/>
          <c:tx>
            <c:strRef>
              <c:f>'Emolehmän tuotantokustannus 1'!$B$44</c:f>
              <c:strCache>
                <c:ptCount val="1"/>
                <c:pt idx="0">
                  <c:v>Katetuotto B</c:v>
                </c:pt>
              </c:strCache>
            </c:strRef>
          </c:tx>
          <c:spPr>
            <a:solidFill>
              <a:schemeClr val="accent4">
                <a:lumMod val="60000"/>
                <a:lumOff val="40000"/>
              </a:schemeClr>
            </a:solidFill>
            <a:ln>
              <a:noFill/>
            </a:ln>
            <a:effectLst/>
          </c:spPr>
          <c:invertIfNegative val="0"/>
          <c:cat>
            <c:strRef>
              <c:f>Maidontuotantokustannus!$E$39:$G$39</c:f>
              <c:strCache>
                <c:ptCount val="3"/>
                <c:pt idx="0">
                  <c:v>Oma laskelma</c:v>
                </c:pt>
                <c:pt idx="1">
                  <c:v>Hyvä</c:v>
                </c:pt>
                <c:pt idx="2">
                  <c:v>Erinomainen</c:v>
                </c:pt>
              </c:strCache>
            </c:strRef>
          </c:cat>
          <c:val>
            <c:numRef>
              <c:f>'Emolehmän tuotantokustannus 1'!$E$44:$G$44</c:f>
              <c:numCache>
                <c:formatCode>#,##0</c:formatCode>
                <c:ptCount val="3"/>
                <c:pt idx="0">
                  <c:v>0</c:v>
                </c:pt>
                <c:pt idx="1">
                  <c:v>0</c:v>
                </c:pt>
                <c:pt idx="2">
                  <c:v>0</c:v>
                </c:pt>
              </c:numCache>
            </c:numRef>
          </c:val>
          <c:extLst>
            <c:ext xmlns:c16="http://schemas.microsoft.com/office/drawing/2014/chart" uri="{C3380CC4-5D6E-409C-BE32-E72D297353CC}">
              <c16:uniqueId val="{00000001-7BF4-4E8A-8334-26295571EF9C}"/>
            </c:ext>
          </c:extLst>
        </c:ser>
        <c:ser>
          <c:idx val="2"/>
          <c:order val="2"/>
          <c:tx>
            <c:strRef>
              <c:f>'Emolehmän tuotantokustannus 1'!$B$46</c:f>
              <c:strCache>
                <c:ptCount val="1"/>
                <c:pt idx="0">
                  <c:v>Katetuotto C</c:v>
                </c:pt>
              </c:strCache>
            </c:strRef>
          </c:tx>
          <c:spPr>
            <a:solidFill>
              <a:schemeClr val="accent4">
                <a:lumMod val="75000"/>
              </a:schemeClr>
            </a:solidFill>
            <a:ln>
              <a:noFill/>
            </a:ln>
            <a:effectLst/>
          </c:spPr>
          <c:invertIfNegative val="0"/>
          <c:cat>
            <c:strRef>
              <c:f>Maidontuotantokustannus!$E$39:$G$39</c:f>
              <c:strCache>
                <c:ptCount val="3"/>
                <c:pt idx="0">
                  <c:v>Oma laskelma</c:v>
                </c:pt>
                <c:pt idx="1">
                  <c:v>Hyvä</c:v>
                </c:pt>
                <c:pt idx="2">
                  <c:v>Erinomainen</c:v>
                </c:pt>
              </c:strCache>
            </c:strRef>
          </c:cat>
          <c:val>
            <c:numRef>
              <c:f>'Emolehmän tuotantokustannus 1'!$E$46:$G$46</c:f>
              <c:numCache>
                <c:formatCode>#,##0</c:formatCode>
                <c:ptCount val="3"/>
                <c:pt idx="0">
                  <c:v>0</c:v>
                </c:pt>
                <c:pt idx="1">
                  <c:v>0</c:v>
                </c:pt>
                <c:pt idx="2">
                  <c:v>0</c:v>
                </c:pt>
              </c:numCache>
            </c:numRef>
          </c:val>
          <c:extLst>
            <c:ext xmlns:c16="http://schemas.microsoft.com/office/drawing/2014/chart" uri="{C3380CC4-5D6E-409C-BE32-E72D297353CC}">
              <c16:uniqueId val="{00000002-7BF4-4E8A-8334-26295571EF9C}"/>
            </c:ext>
          </c:extLst>
        </c:ser>
        <c:dLbls>
          <c:showLegendKey val="0"/>
          <c:showVal val="0"/>
          <c:showCatName val="0"/>
          <c:showSerName val="0"/>
          <c:showPercent val="0"/>
          <c:showBubbleSize val="0"/>
        </c:dLbls>
        <c:gapWidth val="200"/>
        <c:axId val="778534088"/>
        <c:axId val="778541536"/>
        <c:extLst/>
      </c:barChart>
      <c:catAx>
        <c:axId val="778534088"/>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cap="all" spc="120" normalizeH="0" baseline="0">
                <a:solidFill>
                  <a:schemeClr val="tx1">
                    <a:lumMod val="65000"/>
                    <a:lumOff val="35000"/>
                  </a:schemeClr>
                </a:solidFill>
                <a:latin typeface="+mn-lt"/>
                <a:ea typeface="+mn-ea"/>
                <a:cs typeface="+mn-cs"/>
              </a:defRPr>
            </a:pPr>
            <a:endParaRPr lang="fi-FI"/>
          </a:p>
        </c:txPr>
        <c:crossAx val="778541536"/>
        <c:crosses val="autoZero"/>
        <c:auto val="1"/>
        <c:lblAlgn val="ctr"/>
        <c:lblOffset val="100"/>
        <c:noMultiLvlLbl val="0"/>
      </c:catAx>
      <c:valAx>
        <c:axId val="77854153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out"/>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crossAx val="778534088"/>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legend>
    <c:plotVisOnly val="1"/>
    <c:dispBlanksAs val="gap"/>
    <c:showDLblsOverMax val="0"/>
  </c:chart>
  <c:spPr>
    <a:solidFill>
      <a:schemeClr val="bg1"/>
    </a:solidFill>
    <a:ln w="9525" cap="flat" cmpd="sng" algn="ctr">
      <a:noFill/>
      <a:round/>
    </a:ln>
    <a:effectLst/>
  </c:spPr>
  <c:txPr>
    <a:bodyPr/>
    <a:lstStyle/>
    <a:p>
      <a:pPr>
        <a:defRPr/>
      </a:pPr>
      <a:endParaRPr lang="fi-FI"/>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000" b="0" i="0" u="none" strike="noStrike" kern="1200" spc="0" baseline="0">
                <a:solidFill>
                  <a:schemeClr val="tx1">
                    <a:lumMod val="65000"/>
                    <a:lumOff val="35000"/>
                  </a:schemeClr>
                </a:solidFill>
                <a:latin typeface="+mn-lt"/>
                <a:ea typeface="+mn-ea"/>
                <a:cs typeface="+mn-cs"/>
              </a:defRPr>
            </a:pPr>
            <a:r>
              <a:rPr lang="fi-FI" sz="2000"/>
              <a:t>Emolehmän</a:t>
            </a:r>
            <a:r>
              <a:rPr lang="fi-FI" sz="2000" baseline="0"/>
              <a:t> t</a:t>
            </a:r>
            <a:r>
              <a:rPr lang="fi-FI" sz="2000"/>
              <a:t>uotantokustannusvertailu, €/pihvivasikka</a:t>
            </a:r>
          </a:p>
        </c:rich>
      </c:tx>
      <c:overlay val="0"/>
      <c:spPr>
        <a:noFill/>
        <a:ln>
          <a:noFill/>
        </a:ln>
        <a:effectLst/>
      </c:spPr>
      <c:txPr>
        <a:bodyPr rot="0" spcFirstLastPara="1" vertOverflow="ellipsis" vert="horz" wrap="square" anchor="ctr" anchorCtr="1"/>
        <a:lstStyle/>
        <a:p>
          <a:pPr>
            <a:defRPr sz="2000" b="0" i="0" u="none" strike="noStrike" kern="1200" spc="0" baseline="0">
              <a:solidFill>
                <a:schemeClr val="tx1">
                  <a:lumMod val="65000"/>
                  <a:lumOff val="35000"/>
                </a:schemeClr>
              </a:solidFill>
              <a:latin typeface="+mn-lt"/>
              <a:ea typeface="+mn-ea"/>
              <a:cs typeface="+mn-cs"/>
            </a:defRPr>
          </a:pPr>
          <a:endParaRPr lang="fi-FI"/>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9.5588180509694351E-2"/>
          <c:y val="0.17507572160926194"/>
          <c:w val="0.88505698078062822"/>
          <c:h val="0.61498432487605714"/>
        </c:manualLayout>
      </c:layout>
      <c:bar3DChart>
        <c:barDir val="col"/>
        <c:grouping val="stacked"/>
        <c:varyColors val="0"/>
        <c:ser>
          <c:idx val="2"/>
          <c:order val="0"/>
          <c:tx>
            <c:strRef>
              <c:f>'Emolehmän tuotantokustannus 2'!$T$55</c:f>
              <c:strCache>
                <c:ptCount val="1"/>
                <c:pt idx="0">
                  <c:v>Kiinteät kustannukset</c:v>
                </c:pt>
              </c:strCache>
            </c:strRef>
          </c:tx>
          <c:spPr>
            <a:solidFill>
              <a:schemeClr val="accent3"/>
            </a:solidFill>
            <a:ln>
              <a:noFill/>
            </a:ln>
            <a:effectLst/>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i-FI"/>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'Emolehmän tuotantokustannus 2'!$U$52:$W$52</c:f>
              <c:strCache>
                <c:ptCount val="3"/>
                <c:pt idx="0">
                  <c:v>Oma laskelma</c:v>
                </c:pt>
                <c:pt idx="1">
                  <c:v>Hyvä</c:v>
                </c:pt>
                <c:pt idx="2">
                  <c:v>Erinomainen</c:v>
                </c:pt>
              </c:strCache>
            </c:strRef>
          </c:cat>
          <c:val>
            <c:numRef>
              <c:f>'Emolehmän tuotantokustannus 2'!$U$55:$W$55</c:f>
              <c:numCache>
                <c:formatCode>0</c:formatCode>
                <c:ptCount val="3"/>
                <c:pt idx="0">
                  <c:v>0</c:v>
                </c:pt>
                <c:pt idx="1">
                  <c:v>0</c:v>
                </c:pt>
                <c:pt idx="2">
                  <c:v>0</c:v>
                </c:pt>
              </c:numCache>
            </c:numRef>
          </c:val>
          <c:extLst>
            <c:ext xmlns:c16="http://schemas.microsoft.com/office/drawing/2014/chart" uri="{C3380CC4-5D6E-409C-BE32-E72D297353CC}">
              <c16:uniqueId val="{00000000-9CE4-439E-BE0B-FFFE393F615A}"/>
            </c:ext>
          </c:extLst>
        </c:ser>
        <c:ser>
          <c:idx val="1"/>
          <c:order val="1"/>
          <c:tx>
            <c:strRef>
              <c:f>'Emolehmän tuotantokustannus 2'!$T$54</c:f>
              <c:strCache>
                <c:ptCount val="1"/>
                <c:pt idx="0">
                  <c:v>Työkustannus</c:v>
                </c:pt>
              </c:strCache>
            </c:strRef>
          </c:tx>
          <c:spPr>
            <a:solidFill>
              <a:schemeClr val="accent2"/>
            </a:solidFill>
            <a:ln>
              <a:noFill/>
            </a:ln>
            <a:effectLst/>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i-FI"/>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'Emolehmän tuotantokustannus 2'!$U$52:$W$52</c:f>
              <c:strCache>
                <c:ptCount val="3"/>
                <c:pt idx="0">
                  <c:v>Oma laskelma</c:v>
                </c:pt>
                <c:pt idx="1">
                  <c:v>Hyvä</c:v>
                </c:pt>
                <c:pt idx="2">
                  <c:v>Erinomainen</c:v>
                </c:pt>
              </c:strCache>
            </c:strRef>
          </c:cat>
          <c:val>
            <c:numRef>
              <c:f>'Emolehmän tuotantokustannus 2'!$U$54:$W$54</c:f>
              <c:numCache>
                <c:formatCode>0</c:formatCode>
                <c:ptCount val="3"/>
                <c:pt idx="0">
                  <c:v>0</c:v>
                </c:pt>
                <c:pt idx="1">
                  <c:v>0</c:v>
                </c:pt>
                <c:pt idx="2">
                  <c:v>0</c:v>
                </c:pt>
              </c:numCache>
            </c:numRef>
          </c:val>
          <c:extLst>
            <c:ext xmlns:c16="http://schemas.microsoft.com/office/drawing/2014/chart" uri="{C3380CC4-5D6E-409C-BE32-E72D297353CC}">
              <c16:uniqueId val="{00000001-9CE4-439E-BE0B-FFFE393F615A}"/>
            </c:ext>
          </c:extLst>
        </c:ser>
        <c:ser>
          <c:idx val="0"/>
          <c:order val="2"/>
          <c:tx>
            <c:strRef>
              <c:f>'Emolehmän tuotantokustannus 2'!$T$53</c:f>
              <c:strCache>
                <c:ptCount val="1"/>
                <c:pt idx="0">
                  <c:v>Muuttuvat kustannukset</c:v>
                </c:pt>
              </c:strCache>
            </c:strRef>
          </c:tx>
          <c:spPr>
            <a:solidFill>
              <a:schemeClr val="accent1"/>
            </a:solidFill>
            <a:ln>
              <a:noFill/>
            </a:ln>
            <a:effectLst/>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i-FI"/>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'Emolehmän tuotantokustannus 2'!$U$52:$W$52</c:f>
              <c:strCache>
                <c:ptCount val="3"/>
                <c:pt idx="0">
                  <c:v>Oma laskelma</c:v>
                </c:pt>
                <c:pt idx="1">
                  <c:v>Hyvä</c:v>
                </c:pt>
                <c:pt idx="2">
                  <c:v>Erinomainen</c:v>
                </c:pt>
              </c:strCache>
            </c:strRef>
          </c:cat>
          <c:val>
            <c:numRef>
              <c:f>'Emolehmän tuotantokustannus 2'!$U$53:$W$53</c:f>
              <c:numCache>
                <c:formatCode>0</c:formatCode>
                <c:ptCount val="3"/>
                <c:pt idx="0">
                  <c:v>0</c:v>
                </c:pt>
                <c:pt idx="1">
                  <c:v>0</c:v>
                </c:pt>
                <c:pt idx="2">
                  <c:v>0</c:v>
                </c:pt>
              </c:numCache>
            </c:numRef>
          </c:val>
          <c:extLst>
            <c:ext xmlns:c16="http://schemas.microsoft.com/office/drawing/2014/chart" uri="{C3380CC4-5D6E-409C-BE32-E72D297353CC}">
              <c16:uniqueId val="{00000002-9CE4-439E-BE0B-FFFE393F615A}"/>
            </c:ext>
          </c:extLst>
        </c:ser>
        <c:dLbls>
          <c:showLegendKey val="0"/>
          <c:showVal val="1"/>
          <c:showCatName val="0"/>
          <c:showSerName val="0"/>
          <c:showPercent val="0"/>
          <c:showBubbleSize val="0"/>
        </c:dLbls>
        <c:gapWidth val="100"/>
        <c:gapDepth val="0"/>
        <c:shape val="cylinder"/>
        <c:axId val="778536048"/>
        <c:axId val="778541928"/>
        <c:axId val="0"/>
      </c:bar3DChart>
      <c:catAx>
        <c:axId val="778536048"/>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bg1"/>
                </a:solidFill>
                <a:latin typeface="+mn-lt"/>
                <a:ea typeface="+mn-ea"/>
                <a:cs typeface="+mn-cs"/>
              </a:defRPr>
            </a:pPr>
            <a:endParaRPr lang="fi-FI"/>
          </a:p>
        </c:txPr>
        <c:crossAx val="778541928"/>
        <c:crosses val="autoZero"/>
        <c:auto val="1"/>
        <c:lblAlgn val="ctr"/>
        <c:lblOffset val="100"/>
        <c:noMultiLvlLbl val="0"/>
      </c:catAx>
      <c:valAx>
        <c:axId val="77854192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bg1"/>
                </a:solidFill>
                <a:latin typeface="+mn-lt"/>
                <a:ea typeface="+mn-ea"/>
                <a:cs typeface="+mn-cs"/>
              </a:defRPr>
            </a:pPr>
            <a:endParaRPr lang="fi-FI"/>
          </a:p>
        </c:txPr>
        <c:crossAx val="778536048"/>
        <c:crosses val="autoZero"/>
        <c:crossBetween val="between"/>
      </c:valAx>
      <c:spPr>
        <a:blipFill dpi="0" rotWithShape="1">
          <a:blip xmlns:r="http://schemas.openxmlformats.org/officeDocument/2006/relationships" r:embed="rId3" cstate="print">
            <a:extLst>
              <a:ext uri="{28A0092B-C50C-407E-A947-70E740481C1C}">
                <a14:useLocalDpi xmlns:a14="http://schemas.microsoft.com/office/drawing/2010/main" val="0"/>
              </a:ext>
            </a:extLst>
          </a:blip>
          <a:srcRect/>
          <a:stretch>
            <a:fillRect/>
          </a:stretch>
        </a:blipFill>
        <a:ln>
          <a:noFill/>
        </a:ln>
        <a:effectLst/>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fi-F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i-FI"/>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rgbClr val="FF66FF"/>
              </a:solidFill>
              <a:ln w="25400">
                <a:solidFill>
                  <a:schemeClr val="lt1"/>
                </a:solidFill>
              </a:ln>
              <a:effectLst/>
              <a:sp3d contourW="25400">
                <a:contourClr>
                  <a:schemeClr val="lt1"/>
                </a:contourClr>
              </a:sp3d>
            </c:spPr>
            <c:extLst>
              <c:ext xmlns:c16="http://schemas.microsoft.com/office/drawing/2014/chart" uri="{C3380CC4-5D6E-409C-BE32-E72D297353CC}">
                <c16:uniqueId val="{00000001-69AE-4BC7-BCEC-068EDCBBC407}"/>
              </c:ext>
            </c:extLst>
          </c:dPt>
          <c:dPt>
            <c:idx val="1"/>
            <c:bubble3D val="0"/>
            <c:spPr>
              <a:solidFill>
                <a:schemeClr val="accent2"/>
              </a:solidFill>
              <a:ln w="25400">
                <a:solidFill>
                  <a:schemeClr val="lt1"/>
                </a:solidFill>
              </a:ln>
              <a:effectLst/>
              <a:sp3d contourW="25400">
                <a:contourClr>
                  <a:schemeClr val="lt1"/>
                </a:contourClr>
              </a:sp3d>
            </c:spPr>
            <c:extLst>
              <c:ext xmlns:c16="http://schemas.microsoft.com/office/drawing/2014/chart" uri="{C3380CC4-5D6E-409C-BE32-E72D297353CC}">
                <c16:uniqueId val="{00000003-69AE-4BC7-BCEC-068EDCBBC407}"/>
              </c:ext>
            </c:extLst>
          </c:dPt>
          <c:dPt>
            <c:idx val="2"/>
            <c:bubble3D val="0"/>
            <c:spPr>
              <a:solidFill>
                <a:schemeClr val="accent3"/>
              </a:solidFill>
              <a:ln w="25400">
                <a:solidFill>
                  <a:schemeClr val="lt1"/>
                </a:solidFill>
              </a:ln>
              <a:effectLst/>
              <a:sp3d contourW="25400">
                <a:contourClr>
                  <a:schemeClr val="lt1"/>
                </a:contourClr>
              </a:sp3d>
            </c:spPr>
            <c:extLst>
              <c:ext xmlns:c16="http://schemas.microsoft.com/office/drawing/2014/chart" uri="{C3380CC4-5D6E-409C-BE32-E72D297353CC}">
                <c16:uniqueId val="{00000005-69AE-4BC7-BCEC-068EDCBBC407}"/>
              </c:ext>
            </c:extLst>
          </c:dPt>
          <c:dPt>
            <c:idx val="3"/>
            <c:bubble3D val="0"/>
            <c:spPr>
              <a:solidFill>
                <a:schemeClr val="accent4"/>
              </a:solidFill>
              <a:ln w="25400">
                <a:solidFill>
                  <a:schemeClr val="lt1"/>
                </a:solidFill>
              </a:ln>
              <a:effectLst/>
              <a:sp3d contourW="25400">
                <a:contourClr>
                  <a:schemeClr val="lt1"/>
                </a:contourClr>
              </a:sp3d>
            </c:spPr>
            <c:extLst>
              <c:ext xmlns:c16="http://schemas.microsoft.com/office/drawing/2014/chart" uri="{C3380CC4-5D6E-409C-BE32-E72D297353CC}">
                <c16:uniqueId val="{00000007-69AE-4BC7-BCEC-068EDCBBC407}"/>
              </c:ext>
            </c:extLst>
          </c:dPt>
          <c:dLbls>
            <c:dLbl>
              <c:idx val="1"/>
              <c:layout>
                <c:manualLayout>
                  <c:x val="-0.15630885122410546"/>
                  <c:y val="6.8364261484858248E-3"/>
                </c:manualLayout>
              </c:layout>
              <c:showLegendKey val="0"/>
              <c:showVal val="0"/>
              <c:showCatName val="1"/>
              <c:showSerName val="0"/>
              <c:showPercent val="0"/>
              <c:showBubbleSize val="0"/>
              <c:extLst>
                <c:ext xmlns:c15="http://schemas.microsoft.com/office/drawing/2012/chart" uri="{CE6537A1-D6FC-4f65-9D91-7224C49458BB}">
                  <c15:layout>
                    <c:manualLayout>
                      <c:w val="0.3559322033898305"/>
                      <c:h val="0.21637426900584794"/>
                    </c:manualLayout>
                  </c15:layout>
                </c:ext>
                <c:ext xmlns:c16="http://schemas.microsoft.com/office/drawing/2014/chart" uri="{C3380CC4-5D6E-409C-BE32-E72D297353CC}">
                  <c16:uniqueId val="{00000003-69AE-4BC7-BCEC-068EDCBBC407}"/>
                </c:ext>
              </c:extLst>
            </c:dLbl>
            <c:dLbl>
              <c:idx val="2"/>
              <c:delete val="1"/>
              <c:extLst>
                <c:ext xmlns:c15="http://schemas.microsoft.com/office/drawing/2012/chart" uri="{CE6537A1-D6FC-4f65-9D91-7224C49458BB}"/>
                <c:ext xmlns:c16="http://schemas.microsoft.com/office/drawing/2014/chart" uri="{C3380CC4-5D6E-409C-BE32-E72D297353CC}">
                  <c16:uniqueId val="{00000005-69AE-4BC7-BCEC-068EDCBBC407}"/>
                </c:ext>
              </c:extLst>
            </c:dLbl>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mn-lt"/>
                    <a:ea typeface="+mn-ea"/>
                    <a:cs typeface="+mn-cs"/>
                  </a:defRPr>
                </a:pPr>
                <a:endParaRPr lang="fi-FI"/>
              </a:p>
            </c:txPr>
            <c:showLegendKey val="0"/>
            <c:showVal val="0"/>
            <c:showCatName val="1"/>
            <c:showSerName val="0"/>
            <c:showPercent val="0"/>
            <c:showBubbleSize val="0"/>
            <c:showLeaderLines val="0"/>
            <c:extLst>
              <c:ext xmlns:c15="http://schemas.microsoft.com/office/drawing/2012/chart" uri="{CE6537A1-D6FC-4f65-9D91-7224C49458BB}"/>
            </c:extLst>
          </c:dLbls>
          <c:cat>
            <c:strRef>
              <c:f>'Emolehmän tuotantokustannus 2'!$P$5:$P$8</c:f>
              <c:strCache>
                <c:ptCount val="4"/>
                <c:pt idx="0">
                  <c:v>Liha</c:v>
                </c:pt>
                <c:pt idx="1">
                  <c:v>Pihvi-vasikka</c:v>
                </c:pt>
                <c:pt idx="2">
                  <c:v>Muut</c:v>
                </c:pt>
                <c:pt idx="3">
                  <c:v>Tuet</c:v>
                </c:pt>
              </c:strCache>
            </c:strRef>
          </c:cat>
          <c:val>
            <c:numRef>
              <c:f>'Emolehmän tuotantokustannus 2'!$Q$5:$Q$8</c:f>
              <c:numCache>
                <c:formatCode>#,##0</c:formatCode>
                <c:ptCount val="4"/>
                <c:pt idx="0">
                  <c:v>0</c:v>
                </c:pt>
                <c:pt idx="1">
                  <c:v>0</c:v>
                </c:pt>
                <c:pt idx="2">
                  <c:v>0</c:v>
                </c:pt>
                <c:pt idx="3">
                  <c:v>0</c:v>
                </c:pt>
              </c:numCache>
            </c:numRef>
          </c:val>
          <c:extLst>
            <c:ext xmlns:c16="http://schemas.microsoft.com/office/drawing/2014/chart" uri="{C3380CC4-5D6E-409C-BE32-E72D297353CC}">
              <c16:uniqueId val="{00000008-69AE-4BC7-BCEC-068EDCBBC407}"/>
            </c:ext>
          </c:extLst>
        </c:ser>
        <c:dLbls>
          <c:showLegendKey val="0"/>
          <c:showVal val="0"/>
          <c:showCatName val="0"/>
          <c:showSerName val="0"/>
          <c:showPercent val="0"/>
          <c:showBubbleSize val="0"/>
          <c:showLeaderLines val="0"/>
        </c:dLbls>
      </c:pie3DChart>
      <c:spPr>
        <a:noFill/>
        <a:ln>
          <a:noFill/>
        </a:ln>
        <a:effectLst/>
      </c:spPr>
    </c:plotArea>
    <c:plotVisOnly val="1"/>
    <c:dispBlanksAs val="gap"/>
    <c:showDLblsOverMax val="0"/>
  </c:chart>
  <c:spPr>
    <a:noFill/>
    <a:ln w="9525" cap="flat" cmpd="sng" algn="ctr">
      <a:noFill/>
      <a:round/>
    </a:ln>
    <a:effectLst/>
  </c:spPr>
  <c:txPr>
    <a:bodyPr/>
    <a:lstStyle/>
    <a:p>
      <a:pPr>
        <a:defRPr sz="1000"/>
      </a:pPr>
      <a:endParaRPr lang="fi-FI"/>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000" b="0" i="0" u="none" strike="noStrike" kern="1200" spc="0" baseline="0">
                <a:solidFill>
                  <a:schemeClr val="tx1">
                    <a:lumMod val="65000"/>
                    <a:lumOff val="35000"/>
                  </a:schemeClr>
                </a:solidFill>
                <a:latin typeface="+mn-lt"/>
                <a:ea typeface="+mn-ea"/>
                <a:cs typeface="+mn-cs"/>
              </a:defRPr>
            </a:pPr>
            <a:r>
              <a:rPr lang="en-US" sz="2000"/>
              <a:t>Kotieläintuotantokustannuksen jakautuminen</a:t>
            </a:r>
          </a:p>
        </c:rich>
      </c:tx>
      <c:overlay val="0"/>
      <c:spPr>
        <a:noFill/>
        <a:ln>
          <a:noFill/>
        </a:ln>
        <a:effectLst/>
      </c:spPr>
      <c:txPr>
        <a:bodyPr rot="0" spcFirstLastPara="1" vertOverflow="ellipsis" vert="horz" wrap="square" anchor="ctr" anchorCtr="1"/>
        <a:lstStyle/>
        <a:p>
          <a:pPr>
            <a:defRPr sz="2000" b="0" i="0" u="none" strike="noStrike" kern="1200" spc="0" baseline="0">
              <a:solidFill>
                <a:schemeClr val="tx1">
                  <a:lumMod val="65000"/>
                  <a:lumOff val="35000"/>
                </a:schemeClr>
              </a:solidFill>
              <a:latin typeface="+mn-lt"/>
              <a:ea typeface="+mn-ea"/>
              <a:cs typeface="+mn-cs"/>
            </a:defRPr>
          </a:pPr>
          <a:endParaRPr lang="fi-FI"/>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blipFill dpi="0" rotWithShape="1">
                <a:blip xmlns:r="http://schemas.openxmlformats.org/officeDocument/2006/relationships" r:embed="rId3">
                  <a:extLst>
                    <a:ext uri="{28A0092B-C50C-407E-A947-70E740481C1C}">
                      <a14:useLocalDpi xmlns:a14="http://schemas.microsoft.com/office/drawing/2010/main" val="0"/>
                    </a:ext>
                  </a:extLst>
                </a:blip>
                <a:srcRect/>
                <a:stretch>
                  <a:fillRect/>
                </a:stretch>
              </a:blipFill>
              <a:ln w="25400">
                <a:solidFill>
                  <a:schemeClr val="lt1"/>
                </a:solidFill>
              </a:ln>
              <a:effectLst/>
              <a:sp3d contourW="25400">
                <a:contourClr>
                  <a:schemeClr val="lt1"/>
                </a:contourClr>
              </a:sp3d>
            </c:spPr>
            <c:extLst>
              <c:ext xmlns:c16="http://schemas.microsoft.com/office/drawing/2014/chart" uri="{C3380CC4-5D6E-409C-BE32-E72D297353CC}">
                <c16:uniqueId val="{00000001-D2FD-47B2-8C21-B9FF2B03F1CB}"/>
              </c:ext>
            </c:extLst>
          </c:dPt>
          <c:dPt>
            <c:idx val="1"/>
            <c:bubble3D val="0"/>
            <c:spPr>
              <a:solidFill>
                <a:schemeClr val="accent2"/>
              </a:solidFill>
              <a:ln w="25400">
                <a:solidFill>
                  <a:schemeClr val="lt1"/>
                </a:solidFill>
              </a:ln>
              <a:effectLst/>
              <a:sp3d contourW="25400">
                <a:contourClr>
                  <a:schemeClr val="lt1"/>
                </a:contourClr>
              </a:sp3d>
            </c:spPr>
            <c:extLst>
              <c:ext xmlns:c16="http://schemas.microsoft.com/office/drawing/2014/chart" uri="{C3380CC4-5D6E-409C-BE32-E72D297353CC}">
                <c16:uniqueId val="{00000003-D2FD-47B2-8C21-B9FF2B03F1CB}"/>
              </c:ext>
            </c:extLst>
          </c:dPt>
          <c:dPt>
            <c:idx val="2"/>
            <c:bubble3D val="0"/>
            <c:spPr>
              <a:solidFill>
                <a:schemeClr val="accent3"/>
              </a:solidFill>
              <a:ln w="25400">
                <a:solidFill>
                  <a:schemeClr val="lt1"/>
                </a:solidFill>
              </a:ln>
              <a:effectLst/>
              <a:sp3d contourW="25400">
                <a:contourClr>
                  <a:schemeClr val="lt1"/>
                </a:contourClr>
              </a:sp3d>
            </c:spPr>
            <c:extLst>
              <c:ext xmlns:c16="http://schemas.microsoft.com/office/drawing/2014/chart" uri="{C3380CC4-5D6E-409C-BE32-E72D297353CC}">
                <c16:uniqueId val="{00000005-D2FD-47B2-8C21-B9FF2B03F1CB}"/>
              </c:ext>
            </c:extLst>
          </c:dPt>
          <c:dPt>
            <c:idx val="3"/>
            <c:bubble3D val="0"/>
            <c:spPr>
              <a:solidFill>
                <a:schemeClr val="accent4"/>
              </a:solidFill>
              <a:ln w="25400">
                <a:solidFill>
                  <a:schemeClr val="lt1"/>
                </a:solidFill>
              </a:ln>
              <a:effectLst/>
              <a:sp3d contourW="25400">
                <a:contourClr>
                  <a:schemeClr val="lt1"/>
                </a:contourClr>
              </a:sp3d>
            </c:spPr>
            <c:extLst>
              <c:ext xmlns:c16="http://schemas.microsoft.com/office/drawing/2014/chart" uri="{C3380CC4-5D6E-409C-BE32-E72D297353CC}">
                <c16:uniqueId val="{00000007-D2FD-47B2-8C21-B9FF2B03F1CB}"/>
              </c:ext>
            </c:extLst>
          </c:dPt>
          <c:dPt>
            <c:idx val="4"/>
            <c:bubble3D val="0"/>
            <c:spPr>
              <a:solidFill>
                <a:schemeClr val="accent5"/>
              </a:solidFill>
              <a:ln w="25400">
                <a:solidFill>
                  <a:schemeClr val="lt1"/>
                </a:solidFill>
              </a:ln>
              <a:effectLst/>
              <a:sp3d contourW="25400">
                <a:contourClr>
                  <a:schemeClr val="lt1"/>
                </a:contourClr>
              </a:sp3d>
            </c:spPr>
            <c:extLst>
              <c:ext xmlns:c16="http://schemas.microsoft.com/office/drawing/2014/chart" uri="{C3380CC4-5D6E-409C-BE32-E72D297353CC}">
                <c16:uniqueId val="{00000009-D2FD-47B2-8C21-B9FF2B03F1CB}"/>
              </c:ext>
            </c:extLst>
          </c:dPt>
          <c:dPt>
            <c:idx val="5"/>
            <c:bubble3D val="0"/>
            <c:spPr>
              <a:solidFill>
                <a:schemeClr val="accent6"/>
              </a:solidFill>
              <a:ln w="25400">
                <a:solidFill>
                  <a:schemeClr val="lt1"/>
                </a:solidFill>
              </a:ln>
              <a:effectLst/>
              <a:sp3d contourW="25400">
                <a:contourClr>
                  <a:schemeClr val="lt1"/>
                </a:contourClr>
              </a:sp3d>
            </c:spPr>
            <c:extLst>
              <c:ext xmlns:c16="http://schemas.microsoft.com/office/drawing/2014/chart" uri="{C3380CC4-5D6E-409C-BE32-E72D297353CC}">
                <c16:uniqueId val="{0000000B-D2FD-47B2-8C21-B9FF2B03F1CB}"/>
              </c:ext>
            </c:extLst>
          </c:dPt>
          <c:dPt>
            <c:idx val="6"/>
            <c:bubble3D val="0"/>
            <c:spPr>
              <a:solidFill>
                <a:schemeClr val="accent1">
                  <a:lumMod val="6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D-D2FD-47B2-8C21-B9FF2B03F1CB}"/>
              </c:ext>
            </c:extLst>
          </c:dPt>
          <c:dLbls>
            <c:dLbl>
              <c:idx val="0"/>
              <c:layout>
                <c:manualLayout>
                  <c:x val="-0.1673591061533975"/>
                  <c:y val="9.455773612054838E-2"/>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fi-FI"/>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D2FD-47B2-8C21-B9FF2B03F1CB}"/>
                </c:ext>
              </c:extLst>
            </c:dLbl>
            <c:dLbl>
              <c:idx val="6"/>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fi-FI"/>
                </a:p>
              </c:txPr>
              <c:showLegendKey val="0"/>
              <c:showVal val="0"/>
              <c:showCatName val="1"/>
              <c:showSerName val="0"/>
              <c:showPercent val="1"/>
              <c:showBubbleSize val="0"/>
              <c:extLst>
                <c:ext xmlns:c16="http://schemas.microsoft.com/office/drawing/2014/chart" uri="{C3380CC4-5D6E-409C-BE32-E72D297353CC}">
                  <c16:uniqueId val="{0000000D-D2FD-47B2-8C21-B9FF2B03F1CB}"/>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i-FI"/>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'Emolehmän tuotantokustannus 2'!$K$49:$K$55</c:f>
              <c:strCache>
                <c:ptCount val="7"/>
                <c:pt idx="0">
                  <c:v>   Säilörehu</c:v>
                </c:pt>
                <c:pt idx="1">
                  <c:v>   Rehuvilja</c:v>
                </c:pt>
                <c:pt idx="2">
                  <c:v>Ostorehut</c:v>
                </c:pt>
                <c:pt idx="3">
                  <c:v>Eläinten ostot</c:v>
                </c:pt>
                <c:pt idx="4">
                  <c:v>Muut muuttuvat yht.</c:v>
                </c:pt>
                <c:pt idx="5">
                  <c:v>Työkustannus</c:v>
                </c:pt>
                <c:pt idx="6">
                  <c:v>Kiinteät kustannukset</c:v>
                </c:pt>
              </c:strCache>
            </c:strRef>
          </c:cat>
          <c:val>
            <c:numRef>
              <c:f>'Emolehmän tuotantokustannus 2'!$L$49:$L$55</c:f>
              <c:numCache>
                <c:formatCode>0.000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E-D2FD-47B2-8C21-B9FF2B03F1CB}"/>
            </c:ext>
          </c:extLst>
        </c:ser>
        <c:dLbls>
          <c:showLegendKey val="0"/>
          <c:showVal val="1"/>
          <c:showCatName val="0"/>
          <c:showSerName val="0"/>
          <c:showPercent val="0"/>
          <c:showBubbleSize val="0"/>
          <c:showLeaderLines val="1"/>
        </c:dLbls>
      </c:pie3D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i-FI"/>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accent6"/>
              </a:solidFill>
              <a:ln w="25400">
                <a:solidFill>
                  <a:schemeClr val="lt1"/>
                </a:solidFill>
              </a:ln>
              <a:effectLst/>
              <a:sp3d contourW="25400">
                <a:contourClr>
                  <a:schemeClr val="lt1"/>
                </a:contourClr>
              </a:sp3d>
            </c:spPr>
            <c:extLst>
              <c:ext xmlns:c16="http://schemas.microsoft.com/office/drawing/2014/chart" uri="{C3380CC4-5D6E-409C-BE32-E72D297353CC}">
                <c16:uniqueId val="{00000001-7A87-4CE5-AE1B-FFCC65D5E412}"/>
              </c:ext>
            </c:extLst>
          </c:dPt>
          <c:dPt>
            <c:idx val="1"/>
            <c:bubble3D val="0"/>
            <c:spPr>
              <a:solidFill>
                <a:schemeClr val="accent5"/>
              </a:solidFill>
              <a:ln w="25400">
                <a:solidFill>
                  <a:schemeClr val="lt1"/>
                </a:solidFill>
              </a:ln>
              <a:effectLst/>
              <a:sp3d contourW="25400">
                <a:contourClr>
                  <a:schemeClr val="lt1"/>
                </a:contourClr>
              </a:sp3d>
            </c:spPr>
            <c:extLst>
              <c:ext xmlns:c16="http://schemas.microsoft.com/office/drawing/2014/chart" uri="{C3380CC4-5D6E-409C-BE32-E72D297353CC}">
                <c16:uniqueId val="{00000003-7A87-4CE5-AE1B-FFCC65D5E412}"/>
              </c:ext>
            </c:extLst>
          </c:dPt>
          <c:dPt>
            <c:idx val="2"/>
            <c:bubble3D val="0"/>
            <c:spPr>
              <a:solidFill>
                <a:schemeClr val="accent4"/>
              </a:solidFill>
              <a:ln w="25400">
                <a:solidFill>
                  <a:schemeClr val="lt1"/>
                </a:solidFill>
              </a:ln>
              <a:effectLst/>
              <a:sp3d contourW="25400">
                <a:contourClr>
                  <a:schemeClr val="lt1"/>
                </a:contourClr>
              </a:sp3d>
            </c:spPr>
            <c:extLst>
              <c:ext xmlns:c16="http://schemas.microsoft.com/office/drawing/2014/chart" uri="{C3380CC4-5D6E-409C-BE32-E72D297353CC}">
                <c16:uniqueId val="{00000005-7A87-4CE5-AE1B-FFCC65D5E412}"/>
              </c:ext>
            </c:extLst>
          </c:dPt>
          <c:dLbls>
            <c:dLbl>
              <c:idx val="0"/>
              <c:layout>
                <c:manualLayout>
                  <c:x val="-0.23232323232323232"/>
                  <c:y val="-0.22857092863392081"/>
                </c:manualLayout>
              </c:layout>
              <c:dLblPos val="bestFit"/>
              <c:showLegendKey val="0"/>
              <c:showVal val="0"/>
              <c:showCatName val="0"/>
              <c:showSerName val="0"/>
              <c:showPercent val="1"/>
              <c:showBubbleSize val="0"/>
              <c:extLst>
                <c:ext xmlns:c15="http://schemas.microsoft.com/office/drawing/2012/chart" uri="{CE6537A1-D6FC-4f65-9D91-7224C49458BB}">
                  <c15:layout>
                    <c:manualLayout>
                      <c:w val="0.2310040032874679"/>
                      <c:h val="0.36563229596300456"/>
                    </c:manualLayout>
                  </c15:layout>
                </c:ext>
                <c:ext xmlns:c16="http://schemas.microsoft.com/office/drawing/2014/chart" uri="{C3380CC4-5D6E-409C-BE32-E72D297353CC}">
                  <c16:uniqueId val="{00000001-7A87-4CE5-AE1B-FFCC65D5E412}"/>
                </c:ext>
              </c:extLst>
            </c:dLbl>
            <c:dLbl>
              <c:idx val="1"/>
              <c:layout>
                <c:manualLayout>
                  <c:x val="0.14814814814814814"/>
                  <c:y val="0.20317510311211098"/>
                </c:manualLayout>
              </c:layout>
              <c:dLblPos val="bestFit"/>
              <c:showLegendKey val="0"/>
              <c:showVal val="0"/>
              <c:showCatName val="0"/>
              <c:showSerName val="0"/>
              <c:showPercent val="1"/>
              <c:showBubbleSize val="0"/>
              <c:extLst>
                <c:ext xmlns:c15="http://schemas.microsoft.com/office/drawing/2012/chart" uri="{CE6537A1-D6FC-4f65-9D91-7224C49458BB}">
                  <c15:layout>
                    <c:manualLayout>
                      <c:w val="0.22117394416607014"/>
                      <c:h val="0.47519860017497806"/>
                    </c:manualLayout>
                  </c15:layout>
                </c:ext>
                <c:ext xmlns:c16="http://schemas.microsoft.com/office/drawing/2014/chart" uri="{C3380CC4-5D6E-409C-BE32-E72D297353CC}">
                  <c16:uniqueId val="{00000003-7A87-4CE5-AE1B-FFCC65D5E412}"/>
                </c:ext>
              </c:extLst>
            </c:dLbl>
            <c:dLbl>
              <c:idx val="2"/>
              <c:layout>
                <c:manualLayout>
                  <c:x val="0.24242424242424238"/>
                  <c:y val="4.999375078115236E-7"/>
                </c:manualLayout>
              </c:layout>
              <c:dLblPos val="bestFit"/>
              <c:showLegendKey val="0"/>
              <c:showVal val="0"/>
              <c:showCatName val="0"/>
              <c:showSerName val="0"/>
              <c:showPercent val="1"/>
              <c:showBubbleSize val="0"/>
              <c:extLst>
                <c:ext xmlns:c15="http://schemas.microsoft.com/office/drawing/2012/chart" uri="{CE6537A1-D6FC-4f65-9D91-7224C49458BB}">
                  <c15:layout>
                    <c:manualLayout>
                      <c:w val="0.23325008616347198"/>
                      <c:h val="0.47519860017497806"/>
                    </c:manualLayout>
                  </c15:layout>
                </c:ext>
                <c:ext xmlns:c16="http://schemas.microsoft.com/office/drawing/2014/chart" uri="{C3380CC4-5D6E-409C-BE32-E72D297353CC}">
                  <c16:uniqueId val="{00000005-7A87-4CE5-AE1B-FFCC65D5E412}"/>
                </c:ext>
              </c:extLst>
            </c:dLbl>
            <c:spPr>
              <a:noFill/>
              <a:ln>
                <a:noFill/>
              </a:ln>
              <a:effectLst/>
            </c:spPr>
            <c:txPr>
              <a:bodyPr rot="0" spcFirstLastPara="1" vertOverflow="clip" horzOverflow="clip" vert="horz" wrap="square" lIns="36576" tIns="18288" rIns="36576" bIns="18288" anchor="ctr" anchorCtr="1">
                <a:spAutoFit/>
              </a:bodyPr>
              <a:lstStyle/>
              <a:p>
                <a:pPr>
                  <a:defRPr sz="1000" b="0" i="0" u="none" strike="noStrike" kern="1200" baseline="0">
                    <a:solidFill>
                      <a:schemeClr val="dk1">
                        <a:lumMod val="65000"/>
                        <a:lumOff val="35000"/>
                      </a:schemeClr>
                    </a:solidFill>
                    <a:latin typeface="+mn-lt"/>
                    <a:ea typeface="+mn-ea"/>
                    <a:cs typeface="+mn-cs"/>
                  </a:defRPr>
                </a:pPr>
                <a:endParaRPr lang="fi-FI"/>
              </a:p>
            </c:txPr>
            <c:dLblPos val="outEnd"/>
            <c:showLegendKey val="0"/>
            <c:showVal val="0"/>
            <c:showCatName val="0"/>
            <c:showSerName val="0"/>
            <c:showPercent val="1"/>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ext>
            </c:extLst>
          </c:dLbls>
          <c:cat>
            <c:strRef>
              <c:f>Energiantarve!$C$21:$C$23</c:f>
              <c:strCache>
                <c:ptCount val="3"/>
                <c:pt idx="0">
                  <c:v>Energian-tarve</c:v>
                </c:pt>
                <c:pt idx="1">
                  <c:v>Kylmä-kasvatus</c:v>
                </c:pt>
                <c:pt idx="2">
                  <c:v>Vapaa-ruokinta</c:v>
                </c:pt>
              </c:strCache>
            </c:strRef>
          </c:cat>
          <c:val>
            <c:numRef>
              <c:f>Energiantarve!$D$21:$D$23</c:f>
              <c:numCache>
                <c:formatCode>#,##0</c:formatCode>
                <c:ptCount val="3"/>
                <c:pt idx="0">
                  <c:v>0</c:v>
                </c:pt>
                <c:pt idx="1">
                  <c:v>0</c:v>
                </c:pt>
                <c:pt idx="2">
                  <c:v>0</c:v>
                </c:pt>
              </c:numCache>
            </c:numRef>
          </c:val>
          <c:extLst>
            <c:ext xmlns:c16="http://schemas.microsoft.com/office/drawing/2014/chart" uri="{C3380CC4-5D6E-409C-BE32-E72D297353CC}">
              <c16:uniqueId val="{00000006-7A87-4CE5-AE1B-FFCC65D5E412}"/>
            </c:ext>
          </c:extLst>
        </c:ser>
        <c:dLbls>
          <c:showLegendKey val="0"/>
          <c:showVal val="0"/>
          <c:showCatName val="0"/>
          <c:showSerName val="0"/>
          <c:showPercent val="0"/>
          <c:showBubbleSize val="0"/>
          <c:showLeaderLines val="0"/>
        </c:dLbls>
      </c:pie3DChart>
      <c:spPr>
        <a:noFill/>
        <a:ln>
          <a:noFill/>
        </a:ln>
        <a:effectLst/>
      </c:spPr>
    </c:plotArea>
    <c:plotVisOnly val="1"/>
    <c:dispBlanksAs val="gap"/>
    <c:showDLblsOverMax val="0"/>
  </c:chart>
  <c:spPr>
    <a:noFill/>
    <a:ln w="9525" cap="flat" cmpd="sng" algn="ctr">
      <a:noFill/>
      <a:round/>
    </a:ln>
    <a:effectLst/>
  </c:spPr>
  <c:txPr>
    <a:bodyPr/>
    <a:lstStyle/>
    <a:p>
      <a:pPr>
        <a:defRPr sz="800"/>
      </a:pPr>
      <a:endParaRPr lang="fi-FI"/>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all" spc="120" normalizeH="0" baseline="0">
                <a:solidFill>
                  <a:schemeClr val="tx1">
                    <a:lumMod val="65000"/>
                    <a:lumOff val="35000"/>
                  </a:schemeClr>
                </a:solidFill>
                <a:latin typeface="+mn-lt"/>
                <a:ea typeface="+mn-ea"/>
                <a:cs typeface="+mn-cs"/>
              </a:defRPr>
            </a:pPr>
            <a:r>
              <a:rPr lang="en-US"/>
              <a:t>Kotieläintuotannon</a:t>
            </a:r>
            <a:r>
              <a:rPr lang="en-US" baseline="0"/>
              <a:t> </a:t>
            </a:r>
            <a:r>
              <a:rPr lang="en-US" sz="1600" b="1" i="0" u="none" strike="noStrike" cap="all" normalizeH="0" baseline="0">
                <a:effectLst/>
              </a:rPr>
              <a:t>katetuotto</a:t>
            </a:r>
            <a:r>
              <a:rPr lang="en-US" baseline="0"/>
              <a:t> €/eläin</a:t>
            </a:r>
            <a:endParaRPr lang="en-US"/>
          </a:p>
        </c:rich>
      </c:tx>
      <c:overlay val="0"/>
      <c:spPr>
        <a:noFill/>
        <a:ln>
          <a:noFill/>
        </a:ln>
        <a:effectLst/>
      </c:spPr>
      <c:txPr>
        <a:bodyPr rot="0" spcFirstLastPara="1" vertOverflow="ellipsis" vert="horz" wrap="square" anchor="ctr" anchorCtr="1"/>
        <a:lstStyle/>
        <a:p>
          <a:pPr>
            <a:defRPr sz="1600" b="1" i="0" u="none" strike="noStrike" kern="1200" cap="all" spc="120" normalizeH="0" baseline="0">
              <a:solidFill>
                <a:schemeClr val="tx1">
                  <a:lumMod val="65000"/>
                  <a:lumOff val="35000"/>
                </a:schemeClr>
              </a:solidFill>
              <a:latin typeface="+mn-lt"/>
              <a:ea typeface="+mn-ea"/>
              <a:cs typeface="+mn-cs"/>
            </a:defRPr>
          </a:pPr>
          <a:endParaRPr lang="fi-FI"/>
        </a:p>
      </c:txPr>
    </c:title>
    <c:autoTitleDeleted val="0"/>
    <c:plotArea>
      <c:layout>
        <c:manualLayout>
          <c:layoutTarget val="inner"/>
          <c:xMode val="edge"/>
          <c:yMode val="edge"/>
          <c:x val="7.7453961130007298E-2"/>
          <c:y val="0.13150516899673254"/>
          <c:w val="0.73644477774783157"/>
          <c:h val="0.77933535239375351"/>
        </c:manualLayout>
      </c:layout>
      <c:barChart>
        <c:barDir val="col"/>
        <c:grouping val="clustered"/>
        <c:varyColors val="0"/>
        <c:ser>
          <c:idx val="0"/>
          <c:order val="0"/>
          <c:tx>
            <c:strRef>
              <c:f>'Emolehmän tuotantokustannus 2'!$B$42</c:f>
              <c:strCache>
                <c:ptCount val="1"/>
                <c:pt idx="0">
                  <c:v>Katetuotto A</c:v>
                </c:pt>
              </c:strCache>
            </c:strRef>
          </c:tx>
          <c:spPr>
            <a:solidFill>
              <a:schemeClr val="accent4">
                <a:lumMod val="20000"/>
                <a:lumOff val="80000"/>
              </a:schemeClr>
            </a:solidFill>
            <a:ln>
              <a:noFill/>
            </a:ln>
            <a:effectLst/>
          </c:spPr>
          <c:invertIfNegative val="0"/>
          <c:cat>
            <c:strRef>
              <c:f>Maidontuotantokustannus!$E$39:$G$39</c:f>
              <c:strCache>
                <c:ptCount val="3"/>
                <c:pt idx="0">
                  <c:v>Oma laskelma</c:v>
                </c:pt>
                <c:pt idx="1">
                  <c:v>Hyvä</c:v>
                </c:pt>
                <c:pt idx="2">
                  <c:v>Erinomainen</c:v>
                </c:pt>
              </c:strCache>
            </c:strRef>
          </c:cat>
          <c:val>
            <c:numRef>
              <c:f>'Emolehmän tuotantokustannus 2'!$E$42:$G$42</c:f>
              <c:numCache>
                <c:formatCode>#,##0</c:formatCode>
                <c:ptCount val="3"/>
                <c:pt idx="0">
                  <c:v>0</c:v>
                </c:pt>
                <c:pt idx="1">
                  <c:v>0</c:v>
                </c:pt>
                <c:pt idx="2">
                  <c:v>0</c:v>
                </c:pt>
              </c:numCache>
            </c:numRef>
          </c:val>
          <c:extLst>
            <c:ext xmlns:c16="http://schemas.microsoft.com/office/drawing/2014/chart" uri="{C3380CC4-5D6E-409C-BE32-E72D297353CC}">
              <c16:uniqueId val="{00000000-7BF4-4E8A-8334-26295571EF9C}"/>
            </c:ext>
          </c:extLst>
        </c:ser>
        <c:ser>
          <c:idx val="1"/>
          <c:order val="1"/>
          <c:tx>
            <c:strRef>
              <c:f>'Emolehmän tuotantokustannus 2'!$B$44</c:f>
              <c:strCache>
                <c:ptCount val="1"/>
                <c:pt idx="0">
                  <c:v>Katetuotto B</c:v>
                </c:pt>
              </c:strCache>
            </c:strRef>
          </c:tx>
          <c:spPr>
            <a:solidFill>
              <a:schemeClr val="accent4">
                <a:lumMod val="60000"/>
                <a:lumOff val="40000"/>
              </a:schemeClr>
            </a:solidFill>
            <a:ln>
              <a:noFill/>
            </a:ln>
            <a:effectLst/>
          </c:spPr>
          <c:invertIfNegative val="0"/>
          <c:cat>
            <c:strRef>
              <c:f>Maidontuotantokustannus!$E$39:$G$39</c:f>
              <c:strCache>
                <c:ptCount val="3"/>
                <c:pt idx="0">
                  <c:v>Oma laskelma</c:v>
                </c:pt>
                <c:pt idx="1">
                  <c:v>Hyvä</c:v>
                </c:pt>
                <c:pt idx="2">
                  <c:v>Erinomainen</c:v>
                </c:pt>
              </c:strCache>
            </c:strRef>
          </c:cat>
          <c:val>
            <c:numRef>
              <c:f>'Emolehmän tuotantokustannus 2'!$E$44:$G$44</c:f>
              <c:numCache>
                <c:formatCode>#,##0</c:formatCode>
                <c:ptCount val="3"/>
                <c:pt idx="0">
                  <c:v>0</c:v>
                </c:pt>
                <c:pt idx="1">
                  <c:v>0</c:v>
                </c:pt>
                <c:pt idx="2">
                  <c:v>0</c:v>
                </c:pt>
              </c:numCache>
            </c:numRef>
          </c:val>
          <c:extLst>
            <c:ext xmlns:c16="http://schemas.microsoft.com/office/drawing/2014/chart" uri="{C3380CC4-5D6E-409C-BE32-E72D297353CC}">
              <c16:uniqueId val="{00000001-7BF4-4E8A-8334-26295571EF9C}"/>
            </c:ext>
          </c:extLst>
        </c:ser>
        <c:ser>
          <c:idx val="2"/>
          <c:order val="2"/>
          <c:tx>
            <c:strRef>
              <c:f>'Emolehmän tuotantokustannus 2'!$B$46</c:f>
              <c:strCache>
                <c:ptCount val="1"/>
                <c:pt idx="0">
                  <c:v>Katetuotto C</c:v>
                </c:pt>
              </c:strCache>
            </c:strRef>
          </c:tx>
          <c:spPr>
            <a:solidFill>
              <a:schemeClr val="accent4">
                <a:lumMod val="75000"/>
              </a:schemeClr>
            </a:solidFill>
            <a:ln>
              <a:noFill/>
            </a:ln>
            <a:effectLst/>
          </c:spPr>
          <c:invertIfNegative val="0"/>
          <c:cat>
            <c:strRef>
              <c:f>Maidontuotantokustannus!$E$39:$G$39</c:f>
              <c:strCache>
                <c:ptCount val="3"/>
                <c:pt idx="0">
                  <c:v>Oma laskelma</c:v>
                </c:pt>
                <c:pt idx="1">
                  <c:v>Hyvä</c:v>
                </c:pt>
                <c:pt idx="2">
                  <c:v>Erinomainen</c:v>
                </c:pt>
              </c:strCache>
            </c:strRef>
          </c:cat>
          <c:val>
            <c:numRef>
              <c:f>'Emolehmän tuotantokustannus 2'!$E$46:$G$46</c:f>
              <c:numCache>
                <c:formatCode>#,##0</c:formatCode>
                <c:ptCount val="3"/>
                <c:pt idx="0">
                  <c:v>0</c:v>
                </c:pt>
                <c:pt idx="1">
                  <c:v>0</c:v>
                </c:pt>
                <c:pt idx="2">
                  <c:v>0</c:v>
                </c:pt>
              </c:numCache>
            </c:numRef>
          </c:val>
          <c:extLst>
            <c:ext xmlns:c16="http://schemas.microsoft.com/office/drawing/2014/chart" uri="{C3380CC4-5D6E-409C-BE32-E72D297353CC}">
              <c16:uniqueId val="{00000002-7BF4-4E8A-8334-26295571EF9C}"/>
            </c:ext>
          </c:extLst>
        </c:ser>
        <c:dLbls>
          <c:showLegendKey val="0"/>
          <c:showVal val="0"/>
          <c:showCatName val="0"/>
          <c:showSerName val="0"/>
          <c:showPercent val="0"/>
          <c:showBubbleSize val="0"/>
        </c:dLbls>
        <c:gapWidth val="200"/>
        <c:axId val="778531736"/>
        <c:axId val="778532520"/>
        <c:extLst/>
      </c:barChart>
      <c:catAx>
        <c:axId val="778531736"/>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cap="all" spc="120" normalizeH="0" baseline="0">
                <a:solidFill>
                  <a:schemeClr val="tx1">
                    <a:lumMod val="65000"/>
                    <a:lumOff val="35000"/>
                  </a:schemeClr>
                </a:solidFill>
                <a:latin typeface="+mn-lt"/>
                <a:ea typeface="+mn-ea"/>
                <a:cs typeface="+mn-cs"/>
              </a:defRPr>
            </a:pPr>
            <a:endParaRPr lang="fi-FI"/>
          </a:p>
        </c:txPr>
        <c:crossAx val="778532520"/>
        <c:crosses val="autoZero"/>
        <c:auto val="1"/>
        <c:lblAlgn val="ctr"/>
        <c:lblOffset val="100"/>
        <c:noMultiLvlLbl val="0"/>
      </c:catAx>
      <c:valAx>
        <c:axId val="77853252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out"/>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crossAx val="778531736"/>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legend>
    <c:plotVisOnly val="1"/>
    <c:dispBlanksAs val="gap"/>
    <c:showDLblsOverMax val="0"/>
  </c:chart>
  <c:spPr>
    <a:solidFill>
      <a:schemeClr val="bg1"/>
    </a:solidFill>
    <a:ln w="9525" cap="flat" cmpd="sng" algn="ctr">
      <a:noFill/>
      <a:round/>
    </a:ln>
    <a:effectLst/>
  </c:spPr>
  <c:txPr>
    <a:bodyPr/>
    <a:lstStyle/>
    <a:p>
      <a:pPr>
        <a:defRPr/>
      </a:pPr>
      <a:endParaRPr lang="fi-FI"/>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000" b="0" i="0" u="none" strike="noStrike" kern="1200" spc="0" baseline="0">
                <a:solidFill>
                  <a:schemeClr val="tx1">
                    <a:lumMod val="65000"/>
                    <a:lumOff val="35000"/>
                  </a:schemeClr>
                </a:solidFill>
                <a:latin typeface="+mn-lt"/>
                <a:ea typeface="+mn-ea"/>
                <a:cs typeface="+mn-cs"/>
              </a:defRPr>
            </a:pPr>
            <a:r>
              <a:rPr lang="fi-FI" sz="2000"/>
              <a:t>Lihasonnin</a:t>
            </a:r>
            <a:r>
              <a:rPr lang="fi-FI" sz="2000" baseline="0"/>
              <a:t> t</a:t>
            </a:r>
            <a:r>
              <a:rPr lang="fi-FI" sz="2000"/>
              <a:t>uotantokustannusvertailu, snt/kg</a:t>
            </a:r>
          </a:p>
        </c:rich>
      </c:tx>
      <c:overlay val="0"/>
      <c:spPr>
        <a:noFill/>
        <a:ln>
          <a:noFill/>
        </a:ln>
        <a:effectLst/>
      </c:spPr>
      <c:txPr>
        <a:bodyPr rot="0" spcFirstLastPara="1" vertOverflow="ellipsis" vert="horz" wrap="square" anchor="ctr" anchorCtr="1"/>
        <a:lstStyle/>
        <a:p>
          <a:pPr>
            <a:defRPr sz="2000" b="0" i="0" u="none" strike="noStrike" kern="1200" spc="0" baseline="0">
              <a:solidFill>
                <a:schemeClr val="tx1">
                  <a:lumMod val="65000"/>
                  <a:lumOff val="35000"/>
                </a:schemeClr>
              </a:solidFill>
              <a:latin typeface="+mn-lt"/>
              <a:ea typeface="+mn-ea"/>
              <a:cs typeface="+mn-cs"/>
            </a:defRPr>
          </a:pPr>
          <a:endParaRPr lang="fi-FI"/>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9.5588180509694351E-2"/>
          <c:y val="0.17507572160926194"/>
          <c:w val="0.88505698078062822"/>
          <c:h val="0.61498432487605714"/>
        </c:manualLayout>
      </c:layout>
      <c:bar3DChart>
        <c:barDir val="col"/>
        <c:grouping val="stacked"/>
        <c:varyColors val="0"/>
        <c:ser>
          <c:idx val="2"/>
          <c:order val="0"/>
          <c:tx>
            <c:strRef>
              <c:f>'Lihasonnin tuotantokustannus'!$T$55</c:f>
              <c:strCache>
                <c:ptCount val="1"/>
                <c:pt idx="0">
                  <c:v>Kiinteät kustannukset</c:v>
                </c:pt>
              </c:strCache>
            </c:strRef>
          </c:tx>
          <c:spPr>
            <a:solidFill>
              <a:schemeClr val="accent3"/>
            </a:solidFill>
            <a:ln>
              <a:noFill/>
            </a:ln>
            <a:effectLst/>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i-FI"/>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'Lihasonnin tuotantokustannus'!$U$52:$W$52</c:f>
              <c:strCache>
                <c:ptCount val="3"/>
                <c:pt idx="0">
                  <c:v>Oma laskelma</c:v>
                </c:pt>
                <c:pt idx="1">
                  <c:v>Hyvä</c:v>
                </c:pt>
                <c:pt idx="2">
                  <c:v>Erinomainen</c:v>
                </c:pt>
              </c:strCache>
            </c:strRef>
          </c:cat>
          <c:val>
            <c:numRef>
              <c:f>'Lihasonnin tuotantokustannus'!$U$55:$W$55</c:f>
              <c:numCache>
                <c:formatCode>0</c:formatCode>
                <c:ptCount val="3"/>
                <c:pt idx="0">
                  <c:v>264.40513081877367</c:v>
                </c:pt>
                <c:pt idx="1">
                  <c:v>43.252802653399669</c:v>
                </c:pt>
                <c:pt idx="2">
                  <c:v>44.530370370370377</c:v>
                </c:pt>
              </c:numCache>
            </c:numRef>
          </c:val>
          <c:extLst>
            <c:ext xmlns:c16="http://schemas.microsoft.com/office/drawing/2014/chart" uri="{C3380CC4-5D6E-409C-BE32-E72D297353CC}">
              <c16:uniqueId val="{00000000-9CE4-439E-BE0B-FFFE393F615A}"/>
            </c:ext>
          </c:extLst>
        </c:ser>
        <c:ser>
          <c:idx val="1"/>
          <c:order val="1"/>
          <c:tx>
            <c:strRef>
              <c:f>'Lihasonnin tuotantokustannus'!$T$54</c:f>
              <c:strCache>
                <c:ptCount val="1"/>
                <c:pt idx="0">
                  <c:v>Työkustannus</c:v>
                </c:pt>
              </c:strCache>
            </c:strRef>
          </c:tx>
          <c:spPr>
            <a:solidFill>
              <a:schemeClr val="accent2"/>
            </a:solidFill>
            <a:ln>
              <a:noFill/>
            </a:ln>
            <a:effectLst/>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i-FI"/>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'Lihasonnin tuotantokustannus'!$U$52:$W$52</c:f>
              <c:strCache>
                <c:ptCount val="3"/>
                <c:pt idx="0">
                  <c:v>Oma laskelma</c:v>
                </c:pt>
                <c:pt idx="1">
                  <c:v>Hyvä</c:v>
                </c:pt>
                <c:pt idx="2">
                  <c:v>Erinomainen</c:v>
                </c:pt>
              </c:strCache>
            </c:strRef>
          </c:cat>
          <c:val>
            <c:numRef>
              <c:f>'Lihasonnin tuotantokustannus'!$U$54:$W$54</c:f>
              <c:numCache>
                <c:formatCode>0</c:formatCode>
                <c:ptCount val="3"/>
                <c:pt idx="0">
                  <c:v>0</c:v>
                </c:pt>
                <c:pt idx="1">
                  <c:v>49.271973466003317</c:v>
                </c:pt>
                <c:pt idx="2">
                  <c:v>187.90740740740742</c:v>
                </c:pt>
              </c:numCache>
            </c:numRef>
          </c:val>
          <c:extLst>
            <c:ext xmlns:c16="http://schemas.microsoft.com/office/drawing/2014/chart" uri="{C3380CC4-5D6E-409C-BE32-E72D297353CC}">
              <c16:uniqueId val="{00000001-9CE4-439E-BE0B-FFFE393F615A}"/>
            </c:ext>
          </c:extLst>
        </c:ser>
        <c:ser>
          <c:idx val="0"/>
          <c:order val="2"/>
          <c:tx>
            <c:strRef>
              <c:f>'Lihasonnin tuotantokustannus'!$T$53</c:f>
              <c:strCache>
                <c:ptCount val="1"/>
                <c:pt idx="0">
                  <c:v>Muuttuvat kustannukset</c:v>
                </c:pt>
              </c:strCache>
            </c:strRef>
          </c:tx>
          <c:spPr>
            <a:solidFill>
              <a:schemeClr val="accent1"/>
            </a:solidFill>
            <a:ln>
              <a:noFill/>
            </a:ln>
            <a:effectLst/>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i-FI"/>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'Lihasonnin tuotantokustannus'!$U$52:$W$52</c:f>
              <c:strCache>
                <c:ptCount val="3"/>
                <c:pt idx="0">
                  <c:v>Oma laskelma</c:v>
                </c:pt>
                <c:pt idx="1">
                  <c:v>Hyvä</c:v>
                </c:pt>
                <c:pt idx="2">
                  <c:v>Erinomainen</c:v>
                </c:pt>
              </c:strCache>
            </c:strRef>
          </c:cat>
          <c:val>
            <c:numRef>
              <c:f>'Lihasonnin tuotantokustannus'!$U$53:$W$53</c:f>
              <c:numCache>
                <c:formatCode>0</c:formatCode>
                <c:ptCount val="3"/>
                <c:pt idx="0">
                  <c:v>488.78390177815481</c:v>
                </c:pt>
                <c:pt idx="1">
                  <c:v>186.69792046337557</c:v>
                </c:pt>
                <c:pt idx="2">
                  <c:v>171.71899415834076</c:v>
                </c:pt>
              </c:numCache>
            </c:numRef>
          </c:val>
          <c:extLst>
            <c:ext xmlns:c16="http://schemas.microsoft.com/office/drawing/2014/chart" uri="{C3380CC4-5D6E-409C-BE32-E72D297353CC}">
              <c16:uniqueId val="{00000002-9CE4-439E-BE0B-FFFE393F615A}"/>
            </c:ext>
          </c:extLst>
        </c:ser>
        <c:dLbls>
          <c:showLegendKey val="0"/>
          <c:showVal val="1"/>
          <c:showCatName val="0"/>
          <c:showSerName val="0"/>
          <c:showPercent val="0"/>
          <c:showBubbleSize val="0"/>
        </c:dLbls>
        <c:gapWidth val="100"/>
        <c:gapDepth val="0"/>
        <c:shape val="cylinder"/>
        <c:axId val="778533696"/>
        <c:axId val="778542320"/>
        <c:axId val="0"/>
      </c:bar3DChart>
      <c:catAx>
        <c:axId val="778533696"/>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bg1"/>
                </a:solidFill>
                <a:latin typeface="+mn-lt"/>
                <a:ea typeface="+mn-ea"/>
                <a:cs typeface="+mn-cs"/>
              </a:defRPr>
            </a:pPr>
            <a:endParaRPr lang="fi-FI"/>
          </a:p>
        </c:txPr>
        <c:crossAx val="778542320"/>
        <c:crosses val="autoZero"/>
        <c:auto val="1"/>
        <c:lblAlgn val="ctr"/>
        <c:lblOffset val="100"/>
        <c:noMultiLvlLbl val="0"/>
      </c:catAx>
      <c:valAx>
        <c:axId val="77854232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bg1"/>
                </a:solidFill>
                <a:latin typeface="+mn-lt"/>
                <a:ea typeface="+mn-ea"/>
                <a:cs typeface="+mn-cs"/>
              </a:defRPr>
            </a:pPr>
            <a:endParaRPr lang="fi-FI"/>
          </a:p>
        </c:txPr>
        <c:crossAx val="778533696"/>
        <c:crosses val="autoZero"/>
        <c:crossBetween val="between"/>
      </c:valAx>
      <c:spPr>
        <a:blipFill dpi="0" rotWithShape="1">
          <a:blip xmlns:r="http://schemas.openxmlformats.org/officeDocument/2006/relationships" r:embed="rId3" cstate="print">
            <a:extLst>
              <a:ext uri="{28A0092B-C50C-407E-A947-70E740481C1C}">
                <a14:useLocalDpi xmlns:a14="http://schemas.microsoft.com/office/drawing/2010/main" val="0"/>
              </a:ext>
            </a:extLst>
          </a:blip>
          <a:srcRect/>
          <a:stretch>
            <a:fillRect/>
          </a:stretch>
        </a:blipFill>
        <a:ln>
          <a:noFill/>
        </a:ln>
        <a:effectLst/>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fi-F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i-FI"/>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rgbClr val="FF66FF"/>
              </a:solidFill>
              <a:ln w="25400">
                <a:solidFill>
                  <a:schemeClr val="lt1"/>
                </a:solidFill>
              </a:ln>
              <a:effectLst/>
              <a:sp3d contourW="25400">
                <a:contourClr>
                  <a:schemeClr val="lt1"/>
                </a:contourClr>
              </a:sp3d>
            </c:spPr>
            <c:extLst>
              <c:ext xmlns:c16="http://schemas.microsoft.com/office/drawing/2014/chart" uri="{C3380CC4-5D6E-409C-BE32-E72D297353CC}">
                <c16:uniqueId val="{00000001-6D5E-4FAA-9AFC-B53CEF6B7878}"/>
              </c:ext>
            </c:extLst>
          </c:dPt>
          <c:dPt>
            <c:idx val="1"/>
            <c:bubble3D val="0"/>
            <c:spPr>
              <a:solidFill>
                <a:schemeClr val="accent2"/>
              </a:solidFill>
              <a:ln w="25400">
                <a:solidFill>
                  <a:schemeClr val="lt1"/>
                </a:solidFill>
              </a:ln>
              <a:effectLst/>
              <a:sp3d contourW="25400">
                <a:contourClr>
                  <a:schemeClr val="lt1"/>
                </a:contourClr>
              </a:sp3d>
            </c:spPr>
            <c:extLst>
              <c:ext xmlns:c16="http://schemas.microsoft.com/office/drawing/2014/chart" uri="{C3380CC4-5D6E-409C-BE32-E72D297353CC}">
                <c16:uniqueId val="{00000003-6D5E-4FAA-9AFC-B53CEF6B7878}"/>
              </c:ext>
            </c:extLst>
          </c:dPt>
          <c:dPt>
            <c:idx val="2"/>
            <c:bubble3D val="0"/>
            <c:spPr>
              <a:solidFill>
                <a:schemeClr val="accent3"/>
              </a:solidFill>
              <a:ln w="25400">
                <a:solidFill>
                  <a:schemeClr val="lt1"/>
                </a:solidFill>
              </a:ln>
              <a:effectLst/>
              <a:sp3d contourW="25400">
                <a:contourClr>
                  <a:schemeClr val="lt1"/>
                </a:contourClr>
              </a:sp3d>
            </c:spPr>
            <c:extLst>
              <c:ext xmlns:c16="http://schemas.microsoft.com/office/drawing/2014/chart" uri="{C3380CC4-5D6E-409C-BE32-E72D297353CC}">
                <c16:uniqueId val="{00000005-6D5E-4FAA-9AFC-B53CEF6B7878}"/>
              </c:ext>
            </c:extLst>
          </c:dPt>
          <c:dPt>
            <c:idx val="3"/>
            <c:bubble3D val="0"/>
            <c:spPr>
              <a:solidFill>
                <a:schemeClr val="accent4"/>
              </a:solidFill>
              <a:ln w="25400">
                <a:solidFill>
                  <a:schemeClr val="lt1"/>
                </a:solidFill>
              </a:ln>
              <a:effectLst/>
              <a:sp3d contourW="25400">
                <a:contourClr>
                  <a:schemeClr val="lt1"/>
                </a:contourClr>
              </a:sp3d>
            </c:spPr>
            <c:extLst>
              <c:ext xmlns:c16="http://schemas.microsoft.com/office/drawing/2014/chart" uri="{C3380CC4-5D6E-409C-BE32-E72D297353CC}">
                <c16:uniqueId val="{00000007-6D5E-4FAA-9AFC-B53CEF6B7878}"/>
              </c:ext>
            </c:extLst>
          </c:dPt>
          <c:dLbls>
            <c:dLbl>
              <c:idx val="0"/>
              <c:layout>
                <c:manualLayout>
                  <c:x val="-0.18478260869565219"/>
                  <c:y val="-9.28658790480721E-2"/>
                </c:manualLayout>
              </c:layout>
              <c:showLegendKey val="0"/>
              <c:showVal val="0"/>
              <c:showCatName val="1"/>
              <c:showSerName val="0"/>
              <c:showPercent val="0"/>
              <c:showBubbleSize val="0"/>
              <c:extLst>
                <c:ext xmlns:c15="http://schemas.microsoft.com/office/drawing/2012/chart" uri="{CE6537A1-D6FC-4f65-9D91-7224C49458BB}">
                  <c15:layout>
                    <c:manualLayout>
                      <c:w val="0.39855072463768115"/>
                      <c:h val="0.20903942403165976"/>
                    </c:manualLayout>
                  </c15:layout>
                </c:ext>
                <c:ext xmlns:c16="http://schemas.microsoft.com/office/drawing/2014/chart" uri="{C3380CC4-5D6E-409C-BE32-E72D297353CC}">
                  <c16:uniqueId val="{00000001-6D5E-4FAA-9AFC-B53CEF6B7878}"/>
                </c:ext>
              </c:extLst>
            </c:dLbl>
            <c:dLbl>
              <c:idx val="1"/>
              <c:layout>
                <c:manualLayout>
                  <c:x val="-0.13456949674768923"/>
                  <c:y val="8.9699073387562681E-2"/>
                </c:manualLayout>
              </c:layout>
              <c:showLegendKey val="0"/>
              <c:showVal val="0"/>
              <c:showCatName val="1"/>
              <c:showSerName val="0"/>
              <c:showPercent val="0"/>
              <c:showBubbleSize val="0"/>
              <c:extLst>
                <c:ext xmlns:c15="http://schemas.microsoft.com/office/drawing/2012/chart" uri="{CE6537A1-D6FC-4f65-9D91-7224C49458BB}">
                  <c15:layout>
                    <c:manualLayout>
                      <c:w val="0.3559322033898305"/>
                      <c:h val="0.21637426900584794"/>
                    </c:manualLayout>
                  </c15:layout>
                </c:ext>
                <c:ext xmlns:c16="http://schemas.microsoft.com/office/drawing/2014/chart" uri="{C3380CC4-5D6E-409C-BE32-E72D297353CC}">
                  <c16:uniqueId val="{00000003-6D5E-4FAA-9AFC-B53CEF6B7878}"/>
                </c:ext>
              </c:extLst>
            </c:dLbl>
            <c:dLbl>
              <c:idx val="2"/>
              <c:delete val="1"/>
              <c:extLst>
                <c:ext xmlns:c15="http://schemas.microsoft.com/office/drawing/2012/chart" uri="{CE6537A1-D6FC-4f65-9D91-7224C49458BB}"/>
                <c:ext xmlns:c16="http://schemas.microsoft.com/office/drawing/2014/chart" uri="{C3380CC4-5D6E-409C-BE32-E72D297353CC}">
                  <c16:uniqueId val="{00000005-6D5E-4FAA-9AFC-B53CEF6B7878}"/>
                </c:ext>
              </c:extLst>
            </c:dLbl>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mn-lt"/>
                    <a:ea typeface="+mn-ea"/>
                    <a:cs typeface="+mn-cs"/>
                  </a:defRPr>
                </a:pPr>
                <a:endParaRPr lang="fi-FI"/>
              </a:p>
            </c:txPr>
            <c:showLegendKey val="0"/>
            <c:showVal val="0"/>
            <c:showCatName val="1"/>
            <c:showSerName val="0"/>
            <c:showPercent val="0"/>
            <c:showBubbleSize val="0"/>
            <c:showLeaderLines val="0"/>
            <c:extLst>
              <c:ext xmlns:c15="http://schemas.microsoft.com/office/drawing/2012/chart" uri="{CE6537A1-D6FC-4f65-9D91-7224C49458BB}"/>
            </c:extLst>
          </c:dLbls>
          <c:cat>
            <c:strRef>
              <c:f>'Lihasonnin tuotantokustannus'!$P$5:$P$8</c:f>
              <c:strCache>
                <c:ptCount val="4"/>
                <c:pt idx="0">
                  <c:v>Lihasonni</c:v>
                </c:pt>
                <c:pt idx="1">
                  <c:v>Lihahieho</c:v>
                </c:pt>
                <c:pt idx="2">
                  <c:v>Muut</c:v>
                </c:pt>
                <c:pt idx="3">
                  <c:v>Tuet</c:v>
                </c:pt>
              </c:strCache>
            </c:strRef>
          </c:cat>
          <c:val>
            <c:numRef>
              <c:f>'Lihasonnin tuotantokustannus'!$Q$5:$Q$8</c:f>
              <c:numCache>
                <c:formatCode>#,##0</c:formatCode>
                <c:ptCount val="4"/>
                <c:pt idx="0">
                  <c:v>1220</c:v>
                </c:pt>
                <c:pt idx="1">
                  <c:v>414</c:v>
                </c:pt>
                <c:pt idx="2">
                  <c:v>0</c:v>
                </c:pt>
                <c:pt idx="3">
                  <c:v>0</c:v>
                </c:pt>
              </c:numCache>
            </c:numRef>
          </c:val>
          <c:extLst>
            <c:ext xmlns:c16="http://schemas.microsoft.com/office/drawing/2014/chart" uri="{C3380CC4-5D6E-409C-BE32-E72D297353CC}">
              <c16:uniqueId val="{00000008-6D5E-4FAA-9AFC-B53CEF6B7878}"/>
            </c:ext>
          </c:extLst>
        </c:ser>
        <c:dLbls>
          <c:showLegendKey val="0"/>
          <c:showVal val="0"/>
          <c:showCatName val="0"/>
          <c:showSerName val="0"/>
          <c:showPercent val="0"/>
          <c:showBubbleSize val="0"/>
          <c:showLeaderLines val="0"/>
        </c:dLbls>
      </c:pie3DChart>
      <c:spPr>
        <a:noFill/>
        <a:ln>
          <a:noFill/>
        </a:ln>
        <a:effectLst/>
      </c:spPr>
    </c:plotArea>
    <c:plotVisOnly val="1"/>
    <c:dispBlanksAs val="gap"/>
    <c:showDLblsOverMax val="0"/>
  </c:chart>
  <c:spPr>
    <a:noFill/>
    <a:ln w="9525" cap="flat" cmpd="sng" algn="ctr">
      <a:noFill/>
      <a:round/>
    </a:ln>
    <a:effectLst/>
  </c:spPr>
  <c:txPr>
    <a:bodyPr/>
    <a:lstStyle/>
    <a:p>
      <a:pPr>
        <a:defRPr sz="1000"/>
      </a:pPr>
      <a:endParaRPr lang="fi-FI"/>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000" b="0" i="0" u="none" strike="noStrike" kern="1200" spc="0" baseline="0">
                <a:solidFill>
                  <a:schemeClr val="tx1">
                    <a:lumMod val="65000"/>
                    <a:lumOff val="35000"/>
                  </a:schemeClr>
                </a:solidFill>
                <a:latin typeface="+mn-lt"/>
                <a:ea typeface="+mn-ea"/>
                <a:cs typeface="+mn-cs"/>
              </a:defRPr>
            </a:pPr>
            <a:r>
              <a:rPr lang="en-US" sz="2000"/>
              <a:t>Kotieläintuotantokustannuksen jakautuminen</a:t>
            </a:r>
          </a:p>
        </c:rich>
      </c:tx>
      <c:overlay val="0"/>
      <c:spPr>
        <a:noFill/>
        <a:ln>
          <a:noFill/>
        </a:ln>
        <a:effectLst/>
      </c:spPr>
      <c:txPr>
        <a:bodyPr rot="0" spcFirstLastPara="1" vertOverflow="ellipsis" vert="horz" wrap="square" anchor="ctr" anchorCtr="1"/>
        <a:lstStyle/>
        <a:p>
          <a:pPr>
            <a:defRPr sz="2000" b="0" i="0" u="none" strike="noStrike" kern="1200" spc="0" baseline="0">
              <a:solidFill>
                <a:schemeClr val="tx1">
                  <a:lumMod val="65000"/>
                  <a:lumOff val="35000"/>
                </a:schemeClr>
              </a:solidFill>
              <a:latin typeface="+mn-lt"/>
              <a:ea typeface="+mn-ea"/>
              <a:cs typeface="+mn-cs"/>
            </a:defRPr>
          </a:pPr>
          <a:endParaRPr lang="fi-FI"/>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blipFill dpi="0" rotWithShape="1">
                <a:blip xmlns:r="http://schemas.openxmlformats.org/officeDocument/2006/relationships" r:embed="rId3">
                  <a:extLst>
                    <a:ext uri="{28A0092B-C50C-407E-A947-70E740481C1C}">
                      <a14:useLocalDpi xmlns:a14="http://schemas.microsoft.com/office/drawing/2010/main" val="0"/>
                    </a:ext>
                  </a:extLst>
                </a:blip>
                <a:srcRect/>
                <a:stretch>
                  <a:fillRect/>
                </a:stretch>
              </a:blipFill>
              <a:ln w="25400">
                <a:solidFill>
                  <a:schemeClr val="lt1"/>
                </a:solidFill>
              </a:ln>
              <a:effectLst/>
              <a:sp3d contourW="25400">
                <a:contourClr>
                  <a:schemeClr val="lt1"/>
                </a:contourClr>
              </a:sp3d>
            </c:spPr>
            <c:extLst>
              <c:ext xmlns:c16="http://schemas.microsoft.com/office/drawing/2014/chart" uri="{C3380CC4-5D6E-409C-BE32-E72D297353CC}">
                <c16:uniqueId val="{00000001-25F7-48FD-8D8F-AF0297E2FFE2}"/>
              </c:ext>
            </c:extLst>
          </c:dPt>
          <c:dPt>
            <c:idx val="1"/>
            <c:bubble3D val="0"/>
            <c:spPr>
              <a:solidFill>
                <a:schemeClr val="accent2"/>
              </a:solidFill>
              <a:ln w="25400">
                <a:solidFill>
                  <a:schemeClr val="lt1"/>
                </a:solidFill>
              </a:ln>
              <a:effectLst/>
              <a:sp3d contourW="25400">
                <a:contourClr>
                  <a:schemeClr val="lt1"/>
                </a:contourClr>
              </a:sp3d>
            </c:spPr>
            <c:extLst>
              <c:ext xmlns:c16="http://schemas.microsoft.com/office/drawing/2014/chart" uri="{C3380CC4-5D6E-409C-BE32-E72D297353CC}">
                <c16:uniqueId val="{00000003-25F7-48FD-8D8F-AF0297E2FFE2}"/>
              </c:ext>
            </c:extLst>
          </c:dPt>
          <c:dPt>
            <c:idx val="2"/>
            <c:bubble3D val="0"/>
            <c:spPr>
              <a:solidFill>
                <a:schemeClr val="accent3"/>
              </a:solidFill>
              <a:ln w="25400">
                <a:solidFill>
                  <a:schemeClr val="lt1"/>
                </a:solidFill>
              </a:ln>
              <a:effectLst/>
              <a:sp3d contourW="25400">
                <a:contourClr>
                  <a:schemeClr val="lt1"/>
                </a:contourClr>
              </a:sp3d>
            </c:spPr>
            <c:extLst>
              <c:ext xmlns:c16="http://schemas.microsoft.com/office/drawing/2014/chart" uri="{C3380CC4-5D6E-409C-BE32-E72D297353CC}">
                <c16:uniqueId val="{00000005-25F7-48FD-8D8F-AF0297E2FFE2}"/>
              </c:ext>
            </c:extLst>
          </c:dPt>
          <c:dPt>
            <c:idx val="3"/>
            <c:bubble3D val="0"/>
            <c:spPr>
              <a:solidFill>
                <a:schemeClr val="accent4"/>
              </a:solidFill>
              <a:ln w="25400">
                <a:solidFill>
                  <a:schemeClr val="lt1"/>
                </a:solidFill>
              </a:ln>
              <a:effectLst/>
              <a:sp3d contourW="25400">
                <a:contourClr>
                  <a:schemeClr val="lt1"/>
                </a:contourClr>
              </a:sp3d>
            </c:spPr>
            <c:extLst>
              <c:ext xmlns:c16="http://schemas.microsoft.com/office/drawing/2014/chart" uri="{C3380CC4-5D6E-409C-BE32-E72D297353CC}">
                <c16:uniqueId val="{00000007-25F7-48FD-8D8F-AF0297E2FFE2}"/>
              </c:ext>
            </c:extLst>
          </c:dPt>
          <c:dPt>
            <c:idx val="4"/>
            <c:bubble3D val="0"/>
            <c:spPr>
              <a:solidFill>
                <a:schemeClr val="accent5"/>
              </a:solidFill>
              <a:ln w="25400">
                <a:solidFill>
                  <a:schemeClr val="lt1"/>
                </a:solidFill>
              </a:ln>
              <a:effectLst/>
              <a:sp3d contourW="25400">
                <a:contourClr>
                  <a:schemeClr val="lt1"/>
                </a:contourClr>
              </a:sp3d>
            </c:spPr>
            <c:extLst>
              <c:ext xmlns:c16="http://schemas.microsoft.com/office/drawing/2014/chart" uri="{C3380CC4-5D6E-409C-BE32-E72D297353CC}">
                <c16:uniqueId val="{00000009-25F7-48FD-8D8F-AF0297E2FFE2}"/>
              </c:ext>
            </c:extLst>
          </c:dPt>
          <c:dPt>
            <c:idx val="5"/>
            <c:bubble3D val="0"/>
            <c:spPr>
              <a:solidFill>
                <a:schemeClr val="accent6"/>
              </a:solidFill>
              <a:ln w="25400">
                <a:solidFill>
                  <a:schemeClr val="lt1"/>
                </a:solidFill>
              </a:ln>
              <a:effectLst/>
              <a:sp3d contourW="25400">
                <a:contourClr>
                  <a:schemeClr val="lt1"/>
                </a:contourClr>
              </a:sp3d>
            </c:spPr>
            <c:extLst>
              <c:ext xmlns:c16="http://schemas.microsoft.com/office/drawing/2014/chart" uri="{C3380CC4-5D6E-409C-BE32-E72D297353CC}">
                <c16:uniqueId val="{0000000B-25F7-48FD-8D8F-AF0297E2FFE2}"/>
              </c:ext>
            </c:extLst>
          </c:dPt>
          <c:dPt>
            <c:idx val="6"/>
            <c:bubble3D val="0"/>
            <c:spPr>
              <a:solidFill>
                <a:schemeClr val="accent1">
                  <a:lumMod val="6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D-25F7-48FD-8D8F-AF0297E2FFE2}"/>
              </c:ext>
            </c:extLst>
          </c:dPt>
          <c:dLbls>
            <c:dLbl>
              <c:idx val="0"/>
              <c:layout>
                <c:manualLayout>
                  <c:x val="-0.17430355059784194"/>
                  <c:y val="8.7789546611242122E-2"/>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fi-FI"/>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25F7-48FD-8D8F-AF0297E2FFE2}"/>
                </c:ext>
              </c:extLst>
            </c:dLbl>
            <c:dLbl>
              <c:idx val="6"/>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fi-FI"/>
                </a:p>
              </c:txPr>
              <c:showLegendKey val="0"/>
              <c:showVal val="0"/>
              <c:showCatName val="1"/>
              <c:showSerName val="0"/>
              <c:showPercent val="1"/>
              <c:showBubbleSize val="0"/>
              <c:extLst>
                <c:ext xmlns:c16="http://schemas.microsoft.com/office/drawing/2014/chart" uri="{C3380CC4-5D6E-409C-BE32-E72D297353CC}">
                  <c16:uniqueId val="{0000000D-25F7-48FD-8D8F-AF0297E2FFE2}"/>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i-FI"/>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'Lihasonnin tuotantokustannus'!$K$49:$K$55</c:f>
              <c:strCache>
                <c:ptCount val="7"/>
                <c:pt idx="0">
                  <c:v>   Säilörehu</c:v>
                </c:pt>
                <c:pt idx="1">
                  <c:v>   Rehuvilja</c:v>
                </c:pt>
                <c:pt idx="2">
                  <c:v>Ostorehut</c:v>
                </c:pt>
                <c:pt idx="3">
                  <c:v>Eläinten ostot</c:v>
                </c:pt>
                <c:pt idx="4">
                  <c:v>Muut muuttuvat yht.</c:v>
                </c:pt>
                <c:pt idx="5">
                  <c:v>Työkustannus</c:v>
                </c:pt>
                <c:pt idx="6">
                  <c:v>Kiinteät kustannukset</c:v>
                </c:pt>
              </c:strCache>
            </c:strRef>
          </c:cat>
          <c:val>
            <c:numRef>
              <c:f>'Lihasonnin tuotantokustannus'!$L$49:$L$55</c:f>
              <c:numCache>
                <c:formatCode>0.000</c:formatCode>
                <c:ptCount val="7"/>
                <c:pt idx="0">
                  <c:v>224.55078155217132</c:v>
                </c:pt>
                <c:pt idx="1">
                  <c:v>0</c:v>
                </c:pt>
                <c:pt idx="2">
                  <c:v>22.792576420782133</c:v>
                </c:pt>
                <c:pt idx="3">
                  <c:v>0</c:v>
                </c:pt>
                <c:pt idx="4">
                  <c:v>241.44054380520137</c:v>
                </c:pt>
                <c:pt idx="5">
                  <c:v>0</c:v>
                </c:pt>
                <c:pt idx="6">
                  <c:v>264.40513081877367</c:v>
                </c:pt>
              </c:numCache>
            </c:numRef>
          </c:val>
          <c:extLst>
            <c:ext xmlns:c16="http://schemas.microsoft.com/office/drawing/2014/chart" uri="{C3380CC4-5D6E-409C-BE32-E72D297353CC}">
              <c16:uniqueId val="{0000000E-25F7-48FD-8D8F-AF0297E2FFE2}"/>
            </c:ext>
          </c:extLst>
        </c:ser>
        <c:dLbls>
          <c:showLegendKey val="0"/>
          <c:showVal val="1"/>
          <c:showCatName val="0"/>
          <c:showSerName val="0"/>
          <c:showPercent val="0"/>
          <c:showBubbleSize val="0"/>
          <c:showLeaderLines val="1"/>
        </c:dLbls>
      </c:pie3D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i-FI"/>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all" spc="120" normalizeH="0" baseline="0">
                <a:solidFill>
                  <a:schemeClr val="tx1">
                    <a:lumMod val="65000"/>
                    <a:lumOff val="35000"/>
                  </a:schemeClr>
                </a:solidFill>
                <a:latin typeface="+mn-lt"/>
                <a:ea typeface="+mn-ea"/>
                <a:cs typeface="+mn-cs"/>
              </a:defRPr>
            </a:pPr>
            <a:r>
              <a:rPr lang="en-US"/>
              <a:t>Kotieläintuotannon</a:t>
            </a:r>
            <a:r>
              <a:rPr lang="en-US" baseline="0"/>
              <a:t> </a:t>
            </a:r>
            <a:r>
              <a:rPr lang="en-US" sz="1600" b="1" i="0" u="none" strike="noStrike" cap="all" normalizeH="0" baseline="0">
                <a:effectLst/>
              </a:rPr>
              <a:t>katetuotto</a:t>
            </a:r>
            <a:r>
              <a:rPr lang="en-US" baseline="0"/>
              <a:t> €/eläin</a:t>
            </a:r>
            <a:endParaRPr lang="en-US"/>
          </a:p>
        </c:rich>
      </c:tx>
      <c:overlay val="0"/>
      <c:spPr>
        <a:noFill/>
        <a:ln>
          <a:noFill/>
        </a:ln>
        <a:effectLst/>
      </c:spPr>
      <c:txPr>
        <a:bodyPr rot="0" spcFirstLastPara="1" vertOverflow="ellipsis" vert="horz" wrap="square" anchor="ctr" anchorCtr="1"/>
        <a:lstStyle/>
        <a:p>
          <a:pPr>
            <a:defRPr sz="1600" b="1" i="0" u="none" strike="noStrike" kern="1200" cap="all" spc="120" normalizeH="0" baseline="0">
              <a:solidFill>
                <a:schemeClr val="tx1">
                  <a:lumMod val="65000"/>
                  <a:lumOff val="35000"/>
                </a:schemeClr>
              </a:solidFill>
              <a:latin typeface="+mn-lt"/>
              <a:ea typeface="+mn-ea"/>
              <a:cs typeface="+mn-cs"/>
            </a:defRPr>
          </a:pPr>
          <a:endParaRPr lang="fi-FI"/>
        </a:p>
      </c:txPr>
    </c:title>
    <c:autoTitleDeleted val="0"/>
    <c:plotArea>
      <c:layout>
        <c:manualLayout>
          <c:layoutTarget val="inner"/>
          <c:xMode val="edge"/>
          <c:yMode val="edge"/>
          <c:x val="7.7453961130007298E-2"/>
          <c:y val="0.13150516899673254"/>
          <c:w val="0.73644477774783157"/>
          <c:h val="0.77933535239375351"/>
        </c:manualLayout>
      </c:layout>
      <c:barChart>
        <c:barDir val="col"/>
        <c:grouping val="clustered"/>
        <c:varyColors val="0"/>
        <c:ser>
          <c:idx val="0"/>
          <c:order val="0"/>
          <c:tx>
            <c:strRef>
              <c:f>'Lihasonnin tuotantokustannus'!$B$42</c:f>
              <c:strCache>
                <c:ptCount val="1"/>
                <c:pt idx="0">
                  <c:v>Katetuotto A</c:v>
                </c:pt>
              </c:strCache>
            </c:strRef>
          </c:tx>
          <c:spPr>
            <a:solidFill>
              <a:schemeClr val="accent4">
                <a:lumMod val="20000"/>
                <a:lumOff val="80000"/>
              </a:schemeClr>
            </a:solidFill>
            <a:ln>
              <a:noFill/>
            </a:ln>
            <a:effectLst/>
          </c:spPr>
          <c:invertIfNegative val="0"/>
          <c:cat>
            <c:strRef>
              <c:f>Maidontuotantokustannus!$E$39:$G$39</c:f>
              <c:strCache>
                <c:ptCount val="3"/>
                <c:pt idx="0">
                  <c:v>Oma laskelma</c:v>
                </c:pt>
                <c:pt idx="1">
                  <c:v>Hyvä</c:v>
                </c:pt>
                <c:pt idx="2">
                  <c:v>Erinomainen</c:v>
                </c:pt>
              </c:strCache>
            </c:strRef>
          </c:cat>
          <c:val>
            <c:numRef>
              <c:f>'Lihasonnin tuotantokustannus'!$E$42:$G$42</c:f>
              <c:numCache>
                <c:formatCode>#,##0</c:formatCode>
                <c:ptCount val="3"/>
                <c:pt idx="0">
                  <c:v>365.29904460614011</c:v>
                </c:pt>
                <c:pt idx="1">
                  <c:v>828.27797254811139</c:v>
                </c:pt>
                <c:pt idx="2">
                  <c:v>488.17935788624004</c:v>
                </c:pt>
              </c:numCache>
            </c:numRef>
          </c:val>
          <c:extLst>
            <c:ext xmlns:c16="http://schemas.microsoft.com/office/drawing/2014/chart" uri="{C3380CC4-5D6E-409C-BE32-E72D297353CC}">
              <c16:uniqueId val="{00000000-7BF4-4E8A-8334-26295571EF9C}"/>
            </c:ext>
          </c:extLst>
        </c:ser>
        <c:ser>
          <c:idx val="1"/>
          <c:order val="1"/>
          <c:tx>
            <c:strRef>
              <c:f>'Lihasonnin tuotantokustannus'!$B$44</c:f>
              <c:strCache>
                <c:ptCount val="1"/>
                <c:pt idx="0">
                  <c:v>Katetuotto B</c:v>
                </c:pt>
              </c:strCache>
            </c:strRef>
          </c:tx>
          <c:spPr>
            <a:solidFill>
              <a:schemeClr val="accent4">
                <a:lumMod val="60000"/>
                <a:lumOff val="40000"/>
              </a:schemeClr>
            </a:solidFill>
            <a:ln>
              <a:noFill/>
            </a:ln>
            <a:effectLst/>
          </c:spPr>
          <c:invertIfNegative val="0"/>
          <c:cat>
            <c:strRef>
              <c:f>Maidontuotantokustannus!$E$39:$G$39</c:f>
              <c:strCache>
                <c:ptCount val="3"/>
                <c:pt idx="0">
                  <c:v>Oma laskelma</c:v>
                </c:pt>
                <c:pt idx="1">
                  <c:v>Hyvä</c:v>
                </c:pt>
                <c:pt idx="2">
                  <c:v>Erinomainen</c:v>
                </c:pt>
              </c:strCache>
            </c:strRef>
          </c:cat>
          <c:val>
            <c:numRef>
              <c:f>'Lihasonnin tuotantokustannus'!$E$44:$G$44</c:f>
              <c:numCache>
                <c:formatCode>#,##0</c:formatCode>
                <c:ptCount val="3"/>
                <c:pt idx="0">
                  <c:v>365.29904460614011</c:v>
                </c:pt>
                <c:pt idx="1">
                  <c:v>693.22797254811144</c:v>
                </c:pt>
                <c:pt idx="2">
                  <c:v>234.50435788624006</c:v>
                </c:pt>
              </c:numCache>
            </c:numRef>
          </c:val>
          <c:extLst>
            <c:ext xmlns:c16="http://schemas.microsoft.com/office/drawing/2014/chart" uri="{C3380CC4-5D6E-409C-BE32-E72D297353CC}">
              <c16:uniqueId val="{00000001-7BF4-4E8A-8334-26295571EF9C}"/>
            </c:ext>
          </c:extLst>
        </c:ser>
        <c:ser>
          <c:idx val="2"/>
          <c:order val="2"/>
          <c:tx>
            <c:strRef>
              <c:f>'Lihasonnin tuotantokustannus'!$B$46</c:f>
              <c:strCache>
                <c:ptCount val="1"/>
                <c:pt idx="0">
                  <c:v>Katetuotto C</c:v>
                </c:pt>
              </c:strCache>
            </c:strRef>
          </c:tx>
          <c:spPr>
            <a:solidFill>
              <a:schemeClr val="accent4">
                <a:lumMod val="75000"/>
              </a:schemeClr>
            </a:solidFill>
            <a:ln>
              <a:noFill/>
            </a:ln>
            <a:effectLst/>
          </c:spPr>
          <c:invertIfNegative val="0"/>
          <c:cat>
            <c:strRef>
              <c:f>Maidontuotantokustannus!$E$39:$G$39</c:f>
              <c:strCache>
                <c:ptCount val="3"/>
                <c:pt idx="0">
                  <c:v>Oma laskelma</c:v>
                </c:pt>
                <c:pt idx="1">
                  <c:v>Hyvä</c:v>
                </c:pt>
                <c:pt idx="2">
                  <c:v>Erinomainen</c:v>
                </c:pt>
              </c:strCache>
            </c:strRef>
          </c:cat>
          <c:val>
            <c:numRef>
              <c:f>'Lihasonnin tuotantokustannus'!$E$46:$G$46</c:f>
              <c:numCache>
                <c:formatCode>#,##0</c:formatCode>
                <c:ptCount val="3"/>
                <c:pt idx="0">
                  <c:v>-320.99819403137212</c:v>
                </c:pt>
                <c:pt idx="1">
                  <c:v>574.67597254811142</c:v>
                </c:pt>
                <c:pt idx="2">
                  <c:v>174.38835788624004</c:v>
                </c:pt>
              </c:numCache>
            </c:numRef>
          </c:val>
          <c:extLst>
            <c:ext xmlns:c16="http://schemas.microsoft.com/office/drawing/2014/chart" uri="{C3380CC4-5D6E-409C-BE32-E72D297353CC}">
              <c16:uniqueId val="{00000002-7BF4-4E8A-8334-26295571EF9C}"/>
            </c:ext>
          </c:extLst>
        </c:ser>
        <c:dLbls>
          <c:showLegendKey val="0"/>
          <c:showVal val="0"/>
          <c:showCatName val="0"/>
          <c:showSerName val="0"/>
          <c:showPercent val="0"/>
          <c:showBubbleSize val="0"/>
        </c:dLbls>
        <c:gapWidth val="200"/>
        <c:axId val="778543496"/>
        <c:axId val="778543888"/>
        <c:extLst/>
      </c:barChart>
      <c:catAx>
        <c:axId val="778543496"/>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cap="all" spc="120" normalizeH="0" baseline="0">
                <a:solidFill>
                  <a:schemeClr val="tx1">
                    <a:lumMod val="65000"/>
                    <a:lumOff val="35000"/>
                  </a:schemeClr>
                </a:solidFill>
                <a:latin typeface="+mn-lt"/>
                <a:ea typeface="+mn-ea"/>
                <a:cs typeface="+mn-cs"/>
              </a:defRPr>
            </a:pPr>
            <a:endParaRPr lang="fi-FI"/>
          </a:p>
        </c:txPr>
        <c:crossAx val="778543888"/>
        <c:crosses val="autoZero"/>
        <c:auto val="1"/>
        <c:lblAlgn val="ctr"/>
        <c:lblOffset val="100"/>
        <c:noMultiLvlLbl val="0"/>
      </c:catAx>
      <c:valAx>
        <c:axId val="77854388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out"/>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crossAx val="778543496"/>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legend>
    <c:plotVisOnly val="1"/>
    <c:dispBlanksAs val="gap"/>
    <c:showDLblsOverMax val="0"/>
  </c:chart>
  <c:spPr>
    <a:solidFill>
      <a:schemeClr val="bg1"/>
    </a:solidFill>
    <a:ln w="9525" cap="flat" cmpd="sng" algn="ctr">
      <a:noFill/>
      <a:round/>
    </a:ln>
    <a:effectLst/>
  </c:spPr>
  <c:txPr>
    <a:bodyPr/>
    <a:lstStyle/>
    <a:p>
      <a:pPr>
        <a:defRPr/>
      </a:pPr>
      <a:endParaRPr lang="fi-FI"/>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000" b="0" i="0" u="none" strike="noStrike" kern="1200" spc="0" baseline="0">
                <a:solidFill>
                  <a:schemeClr val="tx1">
                    <a:lumMod val="65000"/>
                    <a:lumOff val="35000"/>
                  </a:schemeClr>
                </a:solidFill>
                <a:latin typeface="+mn-lt"/>
                <a:ea typeface="+mn-ea"/>
                <a:cs typeface="+mn-cs"/>
              </a:defRPr>
            </a:pPr>
            <a:r>
              <a:rPr lang="fi-FI" sz="2000"/>
              <a:t>Lihahiehon</a:t>
            </a:r>
            <a:r>
              <a:rPr lang="fi-FI" sz="2000" baseline="0"/>
              <a:t> t</a:t>
            </a:r>
            <a:r>
              <a:rPr lang="fi-FI" sz="2000"/>
              <a:t>uotantokustannusvertailu, snt/kg</a:t>
            </a:r>
          </a:p>
        </c:rich>
      </c:tx>
      <c:overlay val="0"/>
      <c:spPr>
        <a:noFill/>
        <a:ln>
          <a:noFill/>
        </a:ln>
        <a:effectLst/>
      </c:spPr>
      <c:txPr>
        <a:bodyPr rot="0" spcFirstLastPara="1" vertOverflow="ellipsis" vert="horz" wrap="square" anchor="ctr" anchorCtr="1"/>
        <a:lstStyle/>
        <a:p>
          <a:pPr>
            <a:defRPr sz="2000" b="0" i="0" u="none" strike="noStrike" kern="1200" spc="0" baseline="0">
              <a:solidFill>
                <a:schemeClr val="tx1">
                  <a:lumMod val="65000"/>
                  <a:lumOff val="35000"/>
                </a:schemeClr>
              </a:solidFill>
              <a:latin typeface="+mn-lt"/>
              <a:ea typeface="+mn-ea"/>
              <a:cs typeface="+mn-cs"/>
            </a:defRPr>
          </a:pPr>
          <a:endParaRPr lang="fi-FI"/>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9.5588180509694351E-2"/>
          <c:y val="0.17507572160926194"/>
          <c:w val="0.88505698078062822"/>
          <c:h val="0.61498432487605714"/>
        </c:manualLayout>
      </c:layout>
      <c:bar3DChart>
        <c:barDir val="col"/>
        <c:grouping val="stacked"/>
        <c:varyColors val="0"/>
        <c:ser>
          <c:idx val="2"/>
          <c:order val="0"/>
          <c:tx>
            <c:strRef>
              <c:f>'Lihahiehon tuotantokustannus'!$T$55</c:f>
              <c:strCache>
                <c:ptCount val="1"/>
                <c:pt idx="0">
                  <c:v>Kiinteät kustannukset</c:v>
                </c:pt>
              </c:strCache>
            </c:strRef>
          </c:tx>
          <c:spPr>
            <a:solidFill>
              <a:schemeClr val="accent3"/>
            </a:solidFill>
            <a:ln>
              <a:noFill/>
            </a:ln>
            <a:effectLst/>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i-FI"/>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'Lihahiehon tuotantokustannus'!$U$52:$W$52</c:f>
              <c:strCache>
                <c:ptCount val="3"/>
                <c:pt idx="0">
                  <c:v>Oma laskelma</c:v>
                </c:pt>
                <c:pt idx="1">
                  <c:v>Hyvä</c:v>
                </c:pt>
                <c:pt idx="2">
                  <c:v>Erinomainen</c:v>
                </c:pt>
              </c:strCache>
            </c:strRef>
          </c:cat>
          <c:val>
            <c:numRef>
              <c:f>'Lihahiehon tuotantokustannus'!$U$55:$W$55</c:f>
              <c:numCache>
                <c:formatCode>0</c:formatCode>
                <c:ptCount val="3"/>
                <c:pt idx="0">
                  <c:v>238.02833290979288</c:v>
                </c:pt>
                <c:pt idx="1">
                  <c:v>3.8815009107468117</c:v>
                </c:pt>
                <c:pt idx="2">
                  <c:v>3.8815009107468117</c:v>
                </c:pt>
              </c:numCache>
            </c:numRef>
          </c:val>
          <c:extLst>
            <c:ext xmlns:c16="http://schemas.microsoft.com/office/drawing/2014/chart" uri="{C3380CC4-5D6E-409C-BE32-E72D297353CC}">
              <c16:uniqueId val="{00000000-9CE4-439E-BE0B-FFFE393F615A}"/>
            </c:ext>
          </c:extLst>
        </c:ser>
        <c:ser>
          <c:idx val="1"/>
          <c:order val="1"/>
          <c:tx>
            <c:strRef>
              <c:f>'Lihahiehon tuotantokustannus'!$T$54</c:f>
              <c:strCache>
                <c:ptCount val="1"/>
                <c:pt idx="0">
                  <c:v>Työkustannus</c:v>
                </c:pt>
              </c:strCache>
            </c:strRef>
          </c:tx>
          <c:spPr>
            <a:solidFill>
              <a:schemeClr val="accent2"/>
            </a:solidFill>
            <a:ln>
              <a:noFill/>
            </a:ln>
            <a:effectLst/>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i-FI"/>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'Lihahiehon tuotantokustannus'!$U$52:$W$52</c:f>
              <c:strCache>
                <c:ptCount val="3"/>
                <c:pt idx="0">
                  <c:v>Oma laskelma</c:v>
                </c:pt>
                <c:pt idx="1">
                  <c:v>Hyvä</c:v>
                </c:pt>
                <c:pt idx="2">
                  <c:v>Erinomainen</c:v>
                </c:pt>
              </c:strCache>
            </c:strRef>
          </c:cat>
          <c:val>
            <c:numRef>
              <c:f>'Lihahiehon tuotantokustannus'!$U$54:$W$54</c:f>
              <c:numCache>
                <c:formatCode>0</c:formatCode>
                <c:ptCount val="3"/>
                <c:pt idx="0">
                  <c:v>0</c:v>
                </c:pt>
                <c:pt idx="1">
                  <c:v>59.144626593806919</c:v>
                </c:pt>
                <c:pt idx="2">
                  <c:v>59.144626593806919</c:v>
                </c:pt>
              </c:numCache>
            </c:numRef>
          </c:val>
          <c:extLst>
            <c:ext xmlns:c16="http://schemas.microsoft.com/office/drawing/2014/chart" uri="{C3380CC4-5D6E-409C-BE32-E72D297353CC}">
              <c16:uniqueId val="{00000001-9CE4-439E-BE0B-FFFE393F615A}"/>
            </c:ext>
          </c:extLst>
        </c:ser>
        <c:ser>
          <c:idx val="0"/>
          <c:order val="2"/>
          <c:tx>
            <c:strRef>
              <c:f>'Lihahiehon tuotantokustannus'!$T$53</c:f>
              <c:strCache>
                <c:ptCount val="1"/>
                <c:pt idx="0">
                  <c:v>Muuttuvat kustannukset</c:v>
                </c:pt>
              </c:strCache>
            </c:strRef>
          </c:tx>
          <c:spPr>
            <a:solidFill>
              <a:schemeClr val="accent1"/>
            </a:solidFill>
            <a:ln>
              <a:noFill/>
            </a:ln>
            <a:effectLst/>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i-FI"/>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'Lihahiehon tuotantokustannus'!$U$52:$W$52</c:f>
              <c:strCache>
                <c:ptCount val="3"/>
                <c:pt idx="0">
                  <c:v>Oma laskelma</c:v>
                </c:pt>
                <c:pt idx="1">
                  <c:v>Hyvä</c:v>
                </c:pt>
                <c:pt idx="2">
                  <c:v>Erinomainen</c:v>
                </c:pt>
              </c:strCache>
            </c:strRef>
          </c:cat>
          <c:val>
            <c:numRef>
              <c:f>'Lihahiehon tuotantokustannus'!$U$53:$W$53</c:f>
              <c:numCache>
                <c:formatCode>0</c:formatCode>
                <c:ptCount val="3"/>
                <c:pt idx="0">
                  <c:v>442.69924760343275</c:v>
                </c:pt>
                <c:pt idx="1">
                  <c:v>3.5175271821289615</c:v>
                </c:pt>
                <c:pt idx="2">
                  <c:v>3.5175271821289615</c:v>
                </c:pt>
              </c:numCache>
            </c:numRef>
          </c:val>
          <c:extLst>
            <c:ext xmlns:c16="http://schemas.microsoft.com/office/drawing/2014/chart" uri="{C3380CC4-5D6E-409C-BE32-E72D297353CC}">
              <c16:uniqueId val="{00000002-9CE4-439E-BE0B-FFFE393F615A}"/>
            </c:ext>
          </c:extLst>
        </c:ser>
        <c:dLbls>
          <c:showLegendKey val="0"/>
          <c:showVal val="1"/>
          <c:showCatName val="0"/>
          <c:showSerName val="0"/>
          <c:showPercent val="0"/>
          <c:showBubbleSize val="0"/>
        </c:dLbls>
        <c:gapWidth val="100"/>
        <c:gapDepth val="0"/>
        <c:shape val="cylinder"/>
        <c:axId val="778538792"/>
        <c:axId val="778546240"/>
        <c:axId val="0"/>
      </c:bar3DChart>
      <c:catAx>
        <c:axId val="778538792"/>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bg1"/>
                </a:solidFill>
                <a:latin typeface="+mn-lt"/>
                <a:ea typeface="+mn-ea"/>
                <a:cs typeface="+mn-cs"/>
              </a:defRPr>
            </a:pPr>
            <a:endParaRPr lang="fi-FI"/>
          </a:p>
        </c:txPr>
        <c:crossAx val="778546240"/>
        <c:crosses val="autoZero"/>
        <c:auto val="1"/>
        <c:lblAlgn val="ctr"/>
        <c:lblOffset val="100"/>
        <c:noMultiLvlLbl val="0"/>
      </c:catAx>
      <c:valAx>
        <c:axId val="7785462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bg1"/>
                </a:solidFill>
                <a:latin typeface="+mn-lt"/>
                <a:ea typeface="+mn-ea"/>
                <a:cs typeface="+mn-cs"/>
              </a:defRPr>
            </a:pPr>
            <a:endParaRPr lang="fi-FI"/>
          </a:p>
        </c:txPr>
        <c:crossAx val="778538792"/>
        <c:crosses val="autoZero"/>
        <c:crossBetween val="between"/>
      </c:valAx>
      <c:spPr>
        <a:blipFill dpi="0" rotWithShape="1">
          <a:blip xmlns:r="http://schemas.openxmlformats.org/officeDocument/2006/relationships" r:embed="rId3" cstate="print">
            <a:extLst>
              <a:ext uri="{28A0092B-C50C-407E-A947-70E740481C1C}">
                <a14:useLocalDpi xmlns:a14="http://schemas.microsoft.com/office/drawing/2010/main" val="0"/>
              </a:ext>
            </a:extLst>
          </a:blip>
          <a:srcRect/>
          <a:stretch>
            <a:fillRect/>
          </a:stretch>
        </a:blipFill>
        <a:ln>
          <a:noFill/>
        </a:ln>
        <a:effectLst/>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fi-F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i-FI"/>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rgbClr val="FF66FF"/>
              </a:solidFill>
              <a:ln w="25400">
                <a:solidFill>
                  <a:schemeClr val="lt1"/>
                </a:solidFill>
              </a:ln>
              <a:effectLst/>
              <a:sp3d contourW="25400">
                <a:contourClr>
                  <a:schemeClr val="lt1"/>
                </a:contourClr>
              </a:sp3d>
            </c:spPr>
            <c:extLst>
              <c:ext xmlns:c16="http://schemas.microsoft.com/office/drawing/2014/chart" uri="{C3380CC4-5D6E-409C-BE32-E72D297353CC}">
                <c16:uniqueId val="{00000001-7B94-4826-9F0C-F598A5324915}"/>
              </c:ext>
            </c:extLst>
          </c:dPt>
          <c:dPt>
            <c:idx val="1"/>
            <c:bubble3D val="0"/>
            <c:spPr>
              <a:solidFill>
                <a:schemeClr val="accent2"/>
              </a:solidFill>
              <a:ln w="25400">
                <a:solidFill>
                  <a:schemeClr val="lt1"/>
                </a:solidFill>
              </a:ln>
              <a:effectLst/>
              <a:sp3d contourW="25400">
                <a:contourClr>
                  <a:schemeClr val="lt1"/>
                </a:contourClr>
              </a:sp3d>
            </c:spPr>
            <c:extLst>
              <c:ext xmlns:c16="http://schemas.microsoft.com/office/drawing/2014/chart" uri="{C3380CC4-5D6E-409C-BE32-E72D297353CC}">
                <c16:uniqueId val="{00000003-7B94-4826-9F0C-F598A5324915}"/>
              </c:ext>
            </c:extLst>
          </c:dPt>
          <c:dPt>
            <c:idx val="2"/>
            <c:bubble3D val="0"/>
            <c:spPr>
              <a:solidFill>
                <a:schemeClr val="accent3"/>
              </a:solidFill>
              <a:ln w="25400">
                <a:solidFill>
                  <a:schemeClr val="lt1"/>
                </a:solidFill>
              </a:ln>
              <a:effectLst/>
              <a:sp3d contourW="25400">
                <a:contourClr>
                  <a:schemeClr val="lt1"/>
                </a:contourClr>
              </a:sp3d>
            </c:spPr>
            <c:extLst>
              <c:ext xmlns:c16="http://schemas.microsoft.com/office/drawing/2014/chart" uri="{C3380CC4-5D6E-409C-BE32-E72D297353CC}">
                <c16:uniqueId val="{00000005-7B94-4826-9F0C-F598A5324915}"/>
              </c:ext>
            </c:extLst>
          </c:dPt>
          <c:dPt>
            <c:idx val="3"/>
            <c:bubble3D val="0"/>
            <c:spPr>
              <a:solidFill>
                <a:schemeClr val="accent4"/>
              </a:solidFill>
              <a:ln w="25400">
                <a:solidFill>
                  <a:schemeClr val="lt1"/>
                </a:solidFill>
              </a:ln>
              <a:effectLst/>
              <a:sp3d contourW="25400">
                <a:contourClr>
                  <a:schemeClr val="lt1"/>
                </a:contourClr>
              </a:sp3d>
            </c:spPr>
            <c:extLst>
              <c:ext xmlns:c16="http://schemas.microsoft.com/office/drawing/2014/chart" uri="{C3380CC4-5D6E-409C-BE32-E72D297353CC}">
                <c16:uniqueId val="{00000007-7B94-4826-9F0C-F598A5324915}"/>
              </c:ext>
            </c:extLst>
          </c:dPt>
          <c:dLbls>
            <c:dLbl>
              <c:idx val="0"/>
              <c:layout>
                <c:manualLayout>
                  <c:x val="-0.18478260869565219"/>
                  <c:y val="-9.28658790480721E-2"/>
                </c:manualLayout>
              </c:layout>
              <c:showLegendKey val="0"/>
              <c:showVal val="0"/>
              <c:showCatName val="1"/>
              <c:showSerName val="0"/>
              <c:showPercent val="0"/>
              <c:showBubbleSize val="0"/>
              <c:extLst>
                <c:ext xmlns:c15="http://schemas.microsoft.com/office/drawing/2012/chart" uri="{CE6537A1-D6FC-4f65-9D91-7224C49458BB}">
                  <c15:layout>
                    <c:manualLayout>
                      <c:w val="0.39855072463768115"/>
                      <c:h val="0.20903942403165976"/>
                    </c:manualLayout>
                  </c15:layout>
                </c:ext>
                <c:ext xmlns:c16="http://schemas.microsoft.com/office/drawing/2014/chart" uri="{C3380CC4-5D6E-409C-BE32-E72D297353CC}">
                  <c16:uniqueId val="{00000001-7B94-4826-9F0C-F598A5324915}"/>
                </c:ext>
              </c:extLst>
            </c:dLbl>
            <c:dLbl>
              <c:idx val="1"/>
              <c:layout>
                <c:manualLayout>
                  <c:x val="-0.13456949674768923"/>
                  <c:y val="8.9699073387562681E-2"/>
                </c:manualLayout>
              </c:layout>
              <c:showLegendKey val="0"/>
              <c:showVal val="0"/>
              <c:showCatName val="1"/>
              <c:showSerName val="0"/>
              <c:showPercent val="0"/>
              <c:showBubbleSize val="0"/>
              <c:extLst>
                <c:ext xmlns:c15="http://schemas.microsoft.com/office/drawing/2012/chart" uri="{CE6537A1-D6FC-4f65-9D91-7224C49458BB}">
                  <c15:layout>
                    <c:manualLayout>
                      <c:w val="0.3559322033898305"/>
                      <c:h val="0.21637426900584794"/>
                    </c:manualLayout>
                  </c15:layout>
                </c:ext>
                <c:ext xmlns:c16="http://schemas.microsoft.com/office/drawing/2014/chart" uri="{C3380CC4-5D6E-409C-BE32-E72D297353CC}">
                  <c16:uniqueId val="{00000003-7B94-4826-9F0C-F598A5324915}"/>
                </c:ext>
              </c:extLst>
            </c:dLbl>
            <c:dLbl>
              <c:idx val="2"/>
              <c:delete val="1"/>
              <c:extLst>
                <c:ext xmlns:c15="http://schemas.microsoft.com/office/drawing/2012/chart" uri="{CE6537A1-D6FC-4f65-9D91-7224C49458BB}"/>
                <c:ext xmlns:c16="http://schemas.microsoft.com/office/drawing/2014/chart" uri="{C3380CC4-5D6E-409C-BE32-E72D297353CC}">
                  <c16:uniqueId val="{00000005-7B94-4826-9F0C-F598A5324915}"/>
                </c:ext>
              </c:extLst>
            </c:dLbl>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mn-lt"/>
                    <a:ea typeface="+mn-ea"/>
                    <a:cs typeface="+mn-cs"/>
                  </a:defRPr>
                </a:pPr>
                <a:endParaRPr lang="fi-FI"/>
              </a:p>
            </c:txPr>
            <c:showLegendKey val="0"/>
            <c:showVal val="0"/>
            <c:showCatName val="1"/>
            <c:showSerName val="0"/>
            <c:showPercent val="0"/>
            <c:showBubbleSize val="0"/>
            <c:showLeaderLines val="0"/>
            <c:extLst>
              <c:ext xmlns:c15="http://schemas.microsoft.com/office/drawing/2012/chart" uri="{CE6537A1-D6FC-4f65-9D91-7224C49458BB}"/>
            </c:extLst>
          </c:dLbls>
          <c:cat>
            <c:strRef>
              <c:f>'Lihahiehon tuotantokustannus'!$P$5:$P$8</c:f>
              <c:strCache>
                <c:ptCount val="4"/>
                <c:pt idx="0">
                  <c:v>Lihasonni</c:v>
                </c:pt>
                <c:pt idx="1">
                  <c:v>Lihahieho</c:v>
                </c:pt>
                <c:pt idx="2">
                  <c:v>Muut</c:v>
                </c:pt>
                <c:pt idx="3">
                  <c:v>Tuet</c:v>
                </c:pt>
              </c:strCache>
            </c:strRef>
          </c:cat>
          <c:val>
            <c:numRef>
              <c:f>'Lihahiehon tuotantokustannus'!$Q$5:$Q$8</c:f>
              <c:numCache>
                <c:formatCode>#,##0</c:formatCode>
                <c:ptCount val="4"/>
                <c:pt idx="0">
                  <c:v>1626.6666666666667</c:v>
                </c:pt>
                <c:pt idx="1">
                  <c:v>552</c:v>
                </c:pt>
                <c:pt idx="2">
                  <c:v>0</c:v>
                </c:pt>
                <c:pt idx="3">
                  <c:v>0</c:v>
                </c:pt>
              </c:numCache>
            </c:numRef>
          </c:val>
          <c:extLst>
            <c:ext xmlns:c16="http://schemas.microsoft.com/office/drawing/2014/chart" uri="{C3380CC4-5D6E-409C-BE32-E72D297353CC}">
              <c16:uniqueId val="{00000008-7B94-4826-9F0C-F598A5324915}"/>
            </c:ext>
          </c:extLst>
        </c:ser>
        <c:dLbls>
          <c:showLegendKey val="0"/>
          <c:showVal val="0"/>
          <c:showCatName val="0"/>
          <c:showSerName val="0"/>
          <c:showPercent val="0"/>
          <c:showBubbleSize val="0"/>
          <c:showLeaderLines val="0"/>
        </c:dLbls>
      </c:pie3DChart>
      <c:spPr>
        <a:noFill/>
        <a:ln>
          <a:noFill/>
        </a:ln>
        <a:effectLst/>
      </c:spPr>
    </c:plotArea>
    <c:plotVisOnly val="1"/>
    <c:dispBlanksAs val="gap"/>
    <c:showDLblsOverMax val="0"/>
  </c:chart>
  <c:spPr>
    <a:noFill/>
    <a:ln w="9525" cap="flat" cmpd="sng" algn="ctr">
      <a:noFill/>
      <a:round/>
    </a:ln>
    <a:effectLst/>
  </c:spPr>
  <c:txPr>
    <a:bodyPr/>
    <a:lstStyle/>
    <a:p>
      <a:pPr>
        <a:defRPr sz="1000"/>
      </a:pPr>
      <a:endParaRPr lang="fi-FI"/>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000" b="0" i="0" u="none" strike="noStrike" kern="1200" spc="0" baseline="0">
                <a:solidFill>
                  <a:schemeClr val="tx1">
                    <a:lumMod val="65000"/>
                    <a:lumOff val="35000"/>
                  </a:schemeClr>
                </a:solidFill>
                <a:latin typeface="+mn-lt"/>
                <a:ea typeface="+mn-ea"/>
                <a:cs typeface="+mn-cs"/>
              </a:defRPr>
            </a:pPr>
            <a:r>
              <a:rPr lang="en-US" sz="2000"/>
              <a:t>Kotieläintuotantokustannuksen jakautuminen</a:t>
            </a:r>
          </a:p>
        </c:rich>
      </c:tx>
      <c:overlay val="0"/>
      <c:spPr>
        <a:noFill/>
        <a:ln>
          <a:noFill/>
        </a:ln>
        <a:effectLst/>
      </c:spPr>
      <c:txPr>
        <a:bodyPr rot="0" spcFirstLastPara="1" vertOverflow="ellipsis" vert="horz" wrap="square" anchor="ctr" anchorCtr="1"/>
        <a:lstStyle/>
        <a:p>
          <a:pPr>
            <a:defRPr sz="2000" b="0" i="0" u="none" strike="noStrike" kern="1200" spc="0" baseline="0">
              <a:solidFill>
                <a:schemeClr val="tx1">
                  <a:lumMod val="65000"/>
                  <a:lumOff val="35000"/>
                </a:schemeClr>
              </a:solidFill>
              <a:latin typeface="+mn-lt"/>
              <a:ea typeface="+mn-ea"/>
              <a:cs typeface="+mn-cs"/>
            </a:defRPr>
          </a:pPr>
          <a:endParaRPr lang="fi-FI"/>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blipFill dpi="0" rotWithShape="1">
                <a:blip xmlns:r="http://schemas.openxmlformats.org/officeDocument/2006/relationships" r:embed="rId3">
                  <a:extLst>
                    <a:ext uri="{28A0092B-C50C-407E-A947-70E740481C1C}">
                      <a14:useLocalDpi xmlns:a14="http://schemas.microsoft.com/office/drawing/2010/main" val="0"/>
                    </a:ext>
                  </a:extLst>
                </a:blip>
                <a:srcRect/>
                <a:stretch>
                  <a:fillRect/>
                </a:stretch>
              </a:blipFill>
              <a:ln w="25400">
                <a:solidFill>
                  <a:schemeClr val="lt1"/>
                </a:solidFill>
              </a:ln>
              <a:effectLst/>
              <a:sp3d contourW="25400">
                <a:contourClr>
                  <a:schemeClr val="lt1"/>
                </a:contourClr>
              </a:sp3d>
            </c:spPr>
            <c:extLst>
              <c:ext xmlns:c16="http://schemas.microsoft.com/office/drawing/2014/chart" uri="{C3380CC4-5D6E-409C-BE32-E72D297353CC}">
                <c16:uniqueId val="{00000001-2D68-4676-B27D-0AC7541E1063}"/>
              </c:ext>
            </c:extLst>
          </c:dPt>
          <c:dPt>
            <c:idx val="1"/>
            <c:bubble3D val="0"/>
            <c:spPr>
              <a:solidFill>
                <a:schemeClr val="accent2"/>
              </a:solidFill>
              <a:ln w="25400">
                <a:solidFill>
                  <a:schemeClr val="lt1"/>
                </a:solidFill>
              </a:ln>
              <a:effectLst/>
              <a:sp3d contourW="25400">
                <a:contourClr>
                  <a:schemeClr val="lt1"/>
                </a:contourClr>
              </a:sp3d>
            </c:spPr>
            <c:extLst>
              <c:ext xmlns:c16="http://schemas.microsoft.com/office/drawing/2014/chart" uri="{C3380CC4-5D6E-409C-BE32-E72D297353CC}">
                <c16:uniqueId val="{00000003-2D68-4676-B27D-0AC7541E1063}"/>
              </c:ext>
            </c:extLst>
          </c:dPt>
          <c:dPt>
            <c:idx val="2"/>
            <c:bubble3D val="0"/>
            <c:spPr>
              <a:solidFill>
                <a:schemeClr val="accent3"/>
              </a:solidFill>
              <a:ln w="25400">
                <a:solidFill>
                  <a:schemeClr val="lt1"/>
                </a:solidFill>
              </a:ln>
              <a:effectLst/>
              <a:sp3d contourW="25400">
                <a:contourClr>
                  <a:schemeClr val="lt1"/>
                </a:contourClr>
              </a:sp3d>
            </c:spPr>
            <c:extLst>
              <c:ext xmlns:c16="http://schemas.microsoft.com/office/drawing/2014/chart" uri="{C3380CC4-5D6E-409C-BE32-E72D297353CC}">
                <c16:uniqueId val="{00000005-2D68-4676-B27D-0AC7541E1063}"/>
              </c:ext>
            </c:extLst>
          </c:dPt>
          <c:dPt>
            <c:idx val="3"/>
            <c:bubble3D val="0"/>
            <c:spPr>
              <a:solidFill>
                <a:schemeClr val="accent4"/>
              </a:solidFill>
              <a:ln w="25400">
                <a:solidFill>
                  <a:schemeClr val="lt1"/>
                </a:solidFill>
              </a:ln>
              <a:effectLst/>
              <a:sp3d contourW="25400">
                <a:contourClr>
                  <a:schemeClr val="lt1"/>
                </a:contourClr>
              </a:sp3d>
            </c:spPr>
            <c:extLst>
              <c:ext xmlns:c16="http://schemas.microsoft.com/office/drawing/2014/chart" uri="{C3380CC4-5D6E-409C-BE32-E72D297353CC}">
                <c16:uniqueId val="{00000007-2D68-4676-B27D-0AC7541E1063}"/>
              </c:ext>
            </c:extLst>
          </c:dPt>
          <c:dPt>
            <c:idx val="4"/>
            <c:bubble3D val="0"/>
            <c:spPr>
              <a:solidFill>
                <a:schemeClr val="accent5"/>
              </a:solidFill>
              <a:ln w="25400">
                <a:solidFill>
                  <a:schemeClr val="lt1"/>
                </a:solidFill>
              </a:ln>
              <a:effectLst/>
              <a:sp3d contourW="25400">
                <a:contourClr>
                  <a:schemeClr val="lt1"/>
                </a:contourClr>
              </a:sp3d>
            </c:spPr>
            <c:extLst>
              <c:ext xmlns:c16="http://schemas.microsoft.com/office/drawing/2014/chart" uri="{C3380CC4-5D6E-409C-BE32-E72D297353CC}">
                <c16:uniqueId val="{00000009-2D68-4676-B27D-0AC7541E1063}"/>
              </c:ext>
            </c:extLst>
          </c:dPt>
          <c:dPt>
            <c:idx val="5"/>
            <c:bubble3D val="0"/>
            <c:spPr>
              <a:solidFill>
                <a:schemeClr val="accent6"/>
              </a:solidFill>
              <a:ln w="25400">
                <a:solidFill>
                  <a:schemeClr val="lt1"/>
                </a:solidFill>
              </a:ln>
              <a:effectLst/>
              <a:sp3d contourW="25400">
                <a:contourClr>
                  <a:schemeClr val="lt1"/>
                </a:contourClr>
              </a:sp3d>
            </c:spPr>
            <c:extLst>
              <c:ext xmlns:c16="http://schemas.microsoft.com/office/drawing/2014/chart" uri="{C3380CC4-5D6E-409C-BE32-E72D297353CC}">
                <c16:uniqueId val="{0000000B-2D68-4676-B27D-0AC7541E1063}"/>
              </c:ext>
            </c:extLst>
          </c:dPt>
          <c:dPt>
            <c:idx val="6"/>
            <c:bubble3D val="0"/>
            <c:spPr>
              <a:solidFill>
                <a:schemeClr val="accent1">
                  <a:lumMod val="6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D-2D68-4676-B27D-0AC7541E1063}"/>
              </c:ext>
            </c:extLst>
          </c:dPt>
          <c:dLbls>
            <c:dLbl>
              <c:idx val="0"/>
              <c:layout>
                <c:manualLayout>
                  <c:x val="-7.0136883931175273E-2"/>
                  <c:y val="0.10132592562985458"/>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fi-FI"/>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2D68-4676-B27D-0AC7541E1063}"/>
                </c:ext>
              </c:extLst>
            </c:dLbl>
            <c:dLbl>
              <c:idx val="6"/>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fi-FI"/>
                </a:p>
              </c:txPr>
              <c:showLegendKey val="0"/>
              <c:showVal val="0"/>
              <c:showCatName val="1"/>
              <c:showSerName val="0"/>
              <c:showPercent val="1"/>
              <c:showBubbleSize val="0"/>
              <c:extLst>
                <c:ext xmlns:c16="http://schemas.microsoft.com/office/drawing/2014/chart" uri="{C3380CC4-5D6E-409C-BE32-E72D297353CC}">
                  <c16:uniqueId val="{0000000D-2D68-4676-B27D-0AC7541E1063}"/>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i-FI"/>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'Lihahiehon tuotantokustannus'!$K$49:$K$55</c:f>
              <c:strCache>
                <c:ptCount val="7"/>
                <c:pt idx="0">
                  <c:v>   Säilörehu</c:v>
                </c:pt>
                <c:pt idx="1">
                  <c:v>   Rehuvilja</c:v>
                </c:pt>
                <c:pt idx="2">
                  <c:v>Ostorehut</c:v>
                </c:pt>
                <c:pt idx="3">
                  <c:v>Eläinten ostot</c:v>
                </c:pt>
                <c:pt idx="4">
                  <c:v>Muut muuttuvat yht.</c:v>
                </c:pt>
                <c:pt idx="5">
                  <c:v>Työkustannus</c:v>
                </c:pt>
                <c:pt idx="6">
                  <c:v>Kiinteät kustannukset</c:v>
                </c:pt>
              </c:strCache>
            </c:strRef>
          </c:cat>
          <c:val>
            <c:numRef>
              <c:f>'Lihahiehon tuotantokustannus'!$L$49:$L$55</c:f>
              <c:numCache>
                <c:formatCode>0.000</c:formatCode>
                <c:ptCount val="7"/>
                <c:pt idx="0">
                  <c:v>202.14981464595434</c:v>
                </c:pt>
                <c:pt idx="1">
                  <c:v>0</c:v>
                </c:pt>
                <c:pt idx="2">
                  <c:v>20.518811232435478</c:v>
                </c:pt>
                <c:pt idx="3">
                  <c:v>0</c:v>
                </c:pt>
                <c:pt idx="4">
                  <c:v>220.03062172504295</c:v>
                </c:pt>
                <c:pt idx="5">
                  <c:v>0</c:v>
                </c:pt>
                <c:pt idx="6">
                  <c:v>238.02833290979288</c:v>
                </c:pt>
              </c:numCache>
            </c:numRef>
          </c:val>
          <c:extLst>
            <c:ext xmlns:c16="http://schemas.microsoft.com/office/drawing/2014/chart" uri="{C3380CC4-5D6E-409C-BE32-E72D297353CC}">
              <c16:uniqueId val="{0000000E-2D68-4676-B27D-0AC7541E1063}"/>
            </c:ext>
          </c:extLst>
        </c:ser>
        <c:dLbls>
          <c:showLegendKey val="0"/>
          <c:showVal val="1"/>
          <c:showCatName val="0"/>
          <c:showSerName val="0"/>
          <c:showPercent val="0"/>
          <c:showBubbleSize val="0"/>
          <c:showLeaderLines val="1"/>
        </c:dLbls>
      </c:pie3D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i-FI"/>
    </a:p>
  </c:txPr>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all" spc="120" normalizeH="0" baseline="0">
                <a:solidFill>
                  <a:schemeClr val="tx1">
                    <a:lumMod val="65000"/>
                    <a:lumOff val="35000"/>
                  </a:schemeClr>
                </a:solidFill>
                <a:latin typeface="+mn-lt"/>
                <a:ea typeface="+mn-ea"/>
                <a:cs typeface="+mn-cs"/>
              </a:defRPr>
            </a:pPr>
            <a:r>
              <a:rPr lang="en-US"/>
              <a:t>Kotieläintuotannon</a:t>
            </a:r>
            <a:r>
              <a:rPr lang="en-US" baseline="0"/>
              <a:t> </a:t>
            </a:r>
            <a:r>
              <a:rPr lang="en-US" sz="1600" b="1" i="0" u="none" strike="noStrike" cap="all" normalizeH="0" baseline="0">
                <a:effectLst/>
              </a:rPr>
              <a:t>katetuotto</a:t>
            </a:r>
            <a:r>
              <a:rPr lang="en-US" baseline="0"/>
              <a:t> €/eläin</a:t>
            </a:r>
            <a:endParaRPr lang="en-US"/>
          </a:p>
        </c:rich>
      </c:tx>
      <c:overlay val="0"/>
      <c:spPr>
        <a:noFill/>
        <a:ln>
          <a:noFill/>
        </a:ln>
        <a:effectLst/>
      </c:spPr>
      <c:txPr>
        <a:bodyPr rot="0" spcFirstLastPara="1" vertOverflow="ellipsis" vert="horz" wrap="square" anchor="ctr" anchorCtr="1"/>
        <a:lstStyle/>
        <a:p>
          <a:pPr>
            <a:defRPr sz="1600" b="1" i="0" u="none" strike="noStrike" kern="1200" cap="all" spc="120" normalizeH="0" baseline="0">
              <a:solidFill>
                <a:schemeClr val="tx1">
                  <a:lumMod val="65000"/>
                  <a:lumOff val="35000"/>
                </a:schemeClr>
              </a:solidFill>
              <a:latin typeface="+mn-lt"/>
              <a:ea typeface="+mn-ea"/>
              <a:cs typeface="+mn-cs"/>
            </a:defRPr>
          </a:pPr>
          <a:endParaRPr lang="fi-FI"/>
        </a:p>
      </c:txPr>
    </c:title>
    <c:autoTitleDeleted val="0"/>
    <c:plotArea>
      <c:layout>
        <c:manualLayout>
          <c:layoutTarget val="inner"/>
          <c:xMode val="edge"/>
          <c:yMode val="edge"/>
          <c:x val="7.7453961130007298E-2"/>
          <c:y val="0.13150516899673254"/>
          <c:w val="0.73644477774783157"/>
          <c:h val="0.77933535239375351"/>
        </c:manualLayout>
      </c:layout>
      <c:barChart>
        <c:barDir val="col"/>
        <c:grouping val="clustered"/>
        <c:varyColors val="0"/>
        <c:ser>
          <c:idx val="0"/>
          <c:order val="0"/>
          <c:tx>
            <c:strRef>
              <c:f>'Lihahiehon tuotantokustannus'!$B$42</c:f>
              <c:strCache>
                <c:ptCount val="1"/>
                <c:pt idx="0">
                  <c:v>Katetuotto A</c:v>
                </c:pt>
              </c:strCache>
            </c:strRef>
          </c:tx>
          <c:spPr>
            <a:solidFill>
              <a:schemeClr val="accent4">
                <a:lumMod val="20000"/>
                <a:lumOff val="80000"/>
              </a:schemeClr>
            </a:solidFill>
            <a:ln>
              <a:noFill/>
            </a:ln>
            <a:effectLst/>
          </c:spPr>
          <c:invertIfNegative val="0"/>
          <c:cat>
            <c:strRef>
              <c:f>Maidontuotantokustannus!$E$39:$G$39</c:f>
              <c:strCache>
                <c:ptCount val="3"/>
                <c:pt idx="0">
                  <c:v>Oma laskelma</c:v>
                </c:pt>
                <c:pt idx="1">
                  <c:v>Hyvä</c:v>
                </c:pt>
                <c:pt idx="2">
                  <c:v>Erinomainen</c:v>
                </c:pt>
              </c:strCache>
            </c:strRef>
          </c:cat>
          <c:val>
            <c:numRef>
              <c:f>'Lihahiehon tuotantokustannus'!$E$42:$G$42</c:f>
              <c:numCache>
                <c:formatCode>#,##0</c:formatCode>
                <c:ptCount val="3"/>
                <c:pt idx="0">
                  <c:v>1280.3153172205916</c:v>
                </c:pt>
                <c:pt idx="1">
                  <c:v>5949.1310607039995</c:v>
                </c:pt>
                <c:pt idx="2">
                  <c:v>5949.1310607039995</c:v>
                </c:pt>
              </c:numCache>
            </c:numRef>
          </c:val>
          <c:extLst>
            <c:ext xmlns:c16="http://schemas.microsoft.com/office/drawing/2014/chart" uri="{C3380CC4-5D6E-409C-BE32-E72D297353CC}">
              <c16:uniqueId val="{00000000-7BF4-4E8A-8334-26295571EF9C}"/>
            </c:ext>
          </c:extLst>
        </c:ser>
        <c:ser>
          <c:idx val="1"/>
          <c:order val="1"/>
          <c:tx>
            <c:strRef>
              <c:f>'Lihahiehon tuotantokustannus'!$B$44</c:f>
              <c:strCache>
                <c:ptCount val="1"/>
                <c:pt idx="0">
                  <c:v>Katetuotto B</c:v>
                </c:pt>
              </c:strCache>
            </c:strRef>
          </c:tx>
          <c:spPr>
            <a:solidFill>
              <a:schemeClr val="accent4">
                <a:lumMod val="60000"/>
                <a:lumOff val="40000"/>
              </a:schemeClr>
            </a:solidFill>
            <a:ln>
              <a:noFill/>
            </a:ln>
            <a:effectLst/>
          </c:spPr>
          <c:invertIfNegative val="0"/>
          <c:cat>
            <c:strRef>
              <c:f>Maidontuotantokustannus!$E$39:$G$39</c:f>
              <c:strCache>
                <c:ptCount val="3"/>
                <c:pt idx="0">
                  <c:v>Oma laskelma</c:v>
                </c:pt>
                <c:pt idx="1">
                  <c:v>Hyvä</c:v>
                </c:pt>
                <c:pt idx="2">
                  <c:v>Erinomainen</c:v>
                </c:pt>
              </c:strCache>
            </c:strRef>
          </c:cat>
          <c:val>
            <c:numRef>
              <c:f>'Lihahiehon tuotantokustannus'!$E$44:$G$44</c:f>
              <c:numCache>
                <c:formatCode>#,##0</c:formatCode>
                <c:ptCount val="3"/>
                <c:pt idx="0">
                  <c:v>1280.3153172205916</c:v>
                </c:pt>
                <c:pt idx="1">
                  <c:v>3412.3810607039995</c:v>
                </c:pt>
                <c:pt idx="2">
                  <c:v>3412.3810607039995</c:v>
                </c:pt>
              </c:numCache>
            </c:numRef>
          </c:val>
          <c:extLst>
            <c:ext xmlns:c16="http://schemas.microsoft.com/office/drawing/2014/chart" uri="{C3380CC4-5D6E-409C-BE32-E72D297353CC}">
              <c16:uniqueId val="{00000001-7BF4-4E8A-8334-26295571EF9C}"/>
            </c:ext>
          </c:extLst>
        </c:ser>
        <c:ser>
          <c:idx val="2"/>
          <c:order val="2"/>
          <c:tx>
            <c:strRef>
              <c:f>'Lihahiehon tuotantokustannus'!$B$46</c:f>
              <c:strCache>
                <c:ptCount val="1"/>
                <c:pt idx="0">
                  <c:v>Katetuotto C</c:v>
                </c:pt>
              </c:strCache>
            </c:strRef>
          </c:tx>
          <c:spPr>
            <a:solidFill>
              <a:schemeClr val="accent4">
                <a:lumMod val="75000"/>
              </a:schemeClr>
            </a:solidFill>
            <a:ln>
              <a:noFill/>
            </a:ln>
            <a:effectLst/>
          </c:spPr>
          <c:invertIfNegative val="0"/>
          <c:cat>
            <c:strRef>
              <c:f>Maidontuotantokustannus!$E$39:$G$39</c:f>
              <c:strCache>
                <c:ptCount val="3"/>
                <c:pt idx="0">
                  <c:v>Oma laskelma</c:v>
                </c:pt>
                <c:pt idx="1">
                  <c:v>Hyvä</c:v>
                </c:pt>
                <c:pt idx="2">
                  <c:v>Erinomainen</c:v>
                </c:pt>
              </c:strCache>
            </c:strRef>
          </c:cat>
          <c:val>
            <c:numRef>
              <c:f>'Lihahiehon tuotantokustannus'!$E$46:$G$46</c:f>
              <c:numCache>
                <c:formatCode>#,##0</c:formatCode>
                <c:ptCount val="3"/>
                <c:pt idx="0">
                  <c:v>797.29422506038452</c:v>
                </c:pt>
                <c:pt idx="1">
                  <c:v>3245.9010607039995</c:v>
                </c:pt>
                <c:pt idx="2">
                  <c:v>3245.9010607039995</c:v>
                </c:pt>
              </c:numCache>
            </c:numRef>
          </c:val>
          <c:extLst>
            <c:ext xmlns:c16="http://schemas.microsoft.com/office/drawing/2014/chart" uri="{C3380CC4-5D6E-409C-BE32-E72D297353CC}">
              <c16:uniqueId val="{00000002-7BF4-4E8A-8334-26295571EF9C}"/>
            </c:ext>
          </c:extLst>
        </c:ser>
        <c:dLbls>
          <c:showLegendKey val="0"/>
          <c:showVal val="0"/>
          <c:showCatName val="0"/>
          <c:showSerName val="0"/>
          <c:showPercent val="0"/>
          <c:showBubbleSize val="0"/>
        </c:dLbls>
        <c:gapWidth val="200"/>
        <c:axId val="778547024"/>
        <c:axId val="778544672"/>
        <c:extLst/>
      </c:barChart>
      <c:catAx>
        <c:axId val="778547024"/>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cap="all" spc="120" normalizeH="0" baseline="0">
                <a:solidFill>
                  <a:schemeClr val="tx1">
                    <a:lumMod val="65000"/>
                    <a:lumOff val="35000"/>
                  </a:schemeClr>
                </a:solidFill>
                <a:latin typeface="+mn-lt"/>
                <a:ea typeface="+mn-ea"/>
                <a:cs typeface="+mn-cs"/>
              </a:defRPr>
            </a:pPr>
            <a:endParaRPr lang="fi-FI"/>
          </a:p>
        </c:txPr>
        <c:crossAx val="778544672"/>
        <c:crosses val="autoZero"/>
        <c:auto val="1"/>
        <c:lblAlgn val="ctr"/>
        <c:lblOffset val="100"/>
        <c:noMultiLvlLbl val="0"/>
      </c:catAx>
      <c:valAx>
        <c:axId val="77854467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out"/>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crossAx val="778547024"/>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legend>
    <c:plotVisOnly val="1"/>
    <c:dispBlanksAs val="gap"/>
    <c:showDLblsOverMax val="0"/>
  </c:chart>
  <c:spPr>
    <a:solidFill>
      <a:schemeClr val="bg1"/>
    </a:solidFill>
    <a:ln w="9525" cap="flat" cmpd="sng" algn="ctr">
      <a:noFill/>
      <a:round/>
    </a:ln>
    <a:effectLst/>
  </c:spPr>
  <c:txPr>
    <a:bodyPr/>
    <a:lstStyle/>
    <a:p>
      <a:pPr>
        <a:defRPr/>
      </a:pPr>
      <a:endParaRPr lang="fi-FI"/>
    </a:p>
  </c:tx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rgbClr val="FF66FF"/>
              </a:solidFill>
              <a:ln w="25400">
                <a:solidFill>
                  <a:schemeClr val="lt1"/>
                </a:solidFill>
              </a:ln>
              <a:effectLst/>
              <a:sp3d contourW="25400">
                <a:contourClr>
                  <a:schemeClr val="lt1"/>
                </a:contourClr>
              </a:sp3d>
            </c:spPr>
            <c:extLst>
              <c:ext xmlns:c16="http://schemas.microsoft.com/office/drawing/2014/chart" uri="{C3380CC4-5D6E-409C-BE32-E72D297353CC}">
                <c16:uniqueId val="{00000001-C414-4A63-9C83-3E047B3537EC}"/>
              </c:ext>
            </c:extLst>
          </c:dPt>
          <c:dPt>
            <c:idx val="1"/>
            <c:bubble3D val="0"/>
            <c:spPr>
              <a:solidFill>
                <a:schemeClr val="accent2"/>
              </a:solidFill>
              <a:ln w="25400">
                <a:solidFill>
                  <a:schemeClr val="lt1"/>
                </a:solidFill>
              </a:ln>
              <a:effectLst/>
              <a:sp3d contourW="25400">
                <a:contourClr>
                  <a:schemeClr val="lt1"/>
                </a:contourClr>
              </a:sp3d>
            </c:spPr>
            <c:extLst>
              <c:ext xmlns:c16="http://schemas.microsoft.com/office/drawing/2014/chart" uri="{C3380CC4-5D6E-409C-BE32-E72D297353CC}">
                <c16:uniqueId val="{00000003-C414-4A63-9C83-3E047B3537EC}"/>
              </c:ext>
            </c:extLst>
          </c:dPt>
          <c:dPt>
            <c:idx val="2"/>
            <c:bubble3D val="0"/>
            <c:spPr>
              <a:solidFill>
                <a:schemeClr val="accent3"/>
              </a:solidFill>
              <a:ln w="25400">
                <a:solidFill>
                  <a:schemeClr val="lt1"/>
                </a:solidFill>
              </a:ln>
              <a:effectLst/>
              <a:sp3d contourW="25400">
                <a:contourClr>
                  <a:schemeClr val="lt1"/>
                </a:contourClr>
              </a:sp3d>
            </c:spPr>
            <c:extLst>
              <c:ext xmlns:c16="http://schemas.microsoft.com/office/drawing/2014/chart" uri="{C3380CC4-5D6E-409C-BE32-E72D297353CC}">
                <c16:uniqueId val="{00000005-C414-4A63-9C83-3E047B3537EC}"/>
              </c:ext>
            </c:extLst>
          </c:dPt>
          <c:dPt>
            <c:idx val="3"/>
            <c:bubble3D val="0"/>
            <c:spPr>
              <a:solidFill>
                <a:schemeClr val="accent4"/>
              </a:solidFill>
              <a:ln w="25400">
                <a:solidFill>
                  <a:schemeClr val="lt1"/>
                </a:solidFill>
              </a:ln>
              <a:effectLst/>
              <a:sp3d contourW="25400">
                <a:contourClr>
                  <a:schemeClr val="lt1"/>
                </a:contourClr>
              </a:sp3d>
            </c:spPr>
            <c:extLst>
              <c:ext xmlns:c16="http://schemas.microsoft.com/office/drawing/2014/chart" uri="{C3380CC4-5D6E-409C-BE32-E72D297353CC}">
                <c16:uniqueId val="{00000007-C414-4A63-9C83-3E047B3537EC}"/>
              </c:ext>
            </c:extLst>
          </c:dPt>
          <c:dLbls>
            <c:dLbl>
              <c:idx val="0"/>
              <c:layout>
                <c:manualLayout>
                  <c:x val="-0.18478260869565219"/>
                  <c:y val="-9.28658790480721E-2"/>
                </c:manualLayout>
              </c:layout>
              <c:showLegendKey val="0"/>
              <c:showVal val="0"/>
              <c:showCatName val="1"/>
              <c:showSerName val="0"/>
              <c:showPercent val="0"/>
              <c:showBubbleSize val="0"/>
              <c:extLst>
                <c:ext xmlns:c15="http://schemas.microsoft.com/office/drawing/2012/chart" uri="{CE6537A1-D6FC-4f65-9D91-7224C49458BB}">
                  <c15:layout>
                    <c:manualLayout>
                      <c:w val="0.39855072463768115"/>
                      <c:h val="0.20903942403165976"/>
                    </c:manualLayout>
                  </c15:layout>
                </c:ext>
                <c:ext xmlns:c16="http://schemas.microsoft.com/office/drawing/2014/chart" uri="{C3380CC4-5D6E-409C-BE32-E72D297353CC}">
                  <c16:uniqueId val="{00000001-C414-4A63-9C83-3E047B3537EC}"/>
                </c:ext>
              </c:extLst>
            </c:dLbl>
            <c:dLbl>
              <c:idx val="1"/>
              <c:layout>
                <c:manualLayout>
                  <c:x val="-0.13456949674768923"/>
                  <c:y val="8.9699073387562681E-2"/>
                </c:manualLayout>
              </c:layout>
              <c:showLegendKey val="0"/>
              <c:showVal val="0"/>
              <c:showCatName val="1"/>
              <c:showSerName val="0"/>
              <c:showPercent val="0"/>
              <c:showBubbleSize val="0"/>
              <c:extLst>
                <c:ext xmlns:c15="http://schemas.microsoft.com/office/drawing/2012/chart" uri="{CE6537A1-D6FC-4f65-9D91-7224C49458BB}">
                  <c15:layout>
                    <c:manualLayout>
                      <c:w val="0.3559322033898305"/>
                      <c:h val="0.21637426900584794"/>
                    </c:manualLayout>
                  </c15:layout>
                </c:ext>
                <c:ext xmlns:c16="http://schemas.microsoft.com/office/drawing/2014/chart" uri="{C3380CC4-5D6E-409C-BE32-E72D297353CC}">
                  <c16:uniqueId val="{00000003-C414-4A63-9C83-3E047B3537EC}"/>
                </c:ext>
              </c:extLst>
            </c:dLbl>
            <c:dLbl>
              <c:idx val="2"/>
              <c:delete val="1"/>
              <c:extLst>
                <c:ext xmlns:c15="http://schemas.microsoft.com/office/drawing/2012/chart" uri="{CE6537A1-D6FC-4f65-9D91-7224C49458BB}"/>
                <c:ext xmlns:c16="http://schemas.microsoft.com/office/drawing/2014/chart" uri="{C3380CC4-5D6E-409C-BE32-E72D297353CC}">
                  <c16:uniqueId val="{00000005-C414-4A63-9C83-3E047B3537EC}"/>
                </c:ext>
              </c:extLst>
            </c:dLbl>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mn-lt"/>
                    <a:ea typeface="+mn-ea"/>
                    <a:cs typeface="+mn-cs"/>
                  </a:defRPr>
                </a:pPr>
                <a:endParaRPr lang="fi-FI"/>
              </a:p>
            </c:txPr>
            <c:showLegendKey val="0"/>
            <c:showVal val="0"/>
            <c:showCatName val="1"/>
            <c:showSerName val="0"/>
            <c:showPercent val="0"/>
            <c:showBubbleSize val="0"/>
            <c:showLeaderLines val="0"/>
            <c:extLst>
              <c:ext xmlns:c15="http://schemas.microsoft.com/office/drawing/2012/chart" uri="{CE6537A1-D6FC-4f65-9D91-7224C49458BB}"/>
            </c:extLst>
          </c:dLbls>
          <c:cat>
            <c:strRef>
              <c:f>'Lihasonnin tuotantokustannus'!$P$5:$P$8</c:f>
              <c:strCache>
                <c:ptCount val="4"/>
                <c:pt idx="0">
                  <c:v>Lihasonni</c:v>
                </c:pt>
                <c:pt idx="1">
                  <c:v>Lihahieho</c:v>
                </c:pt>
                <c:pt idx="2">
                  <c:v>Muut</c:v>
                </c:pt>
                <c:pt idx="3">
                  <c:v>Tuet</c:v>
                </c:pt>
              </c:strCache>
            </c:strRef>
          </c:cat>
          <c:val>
            <c:numRef>
              <c:f>'Lihasonnin tuotantokustannus'!$Q$5:$Q$8</c:f>
              <c:numCache>
                <c:formatCode>#,##0</c:formatCode>
                <c:ptCount val="4"/>
                <c:pt idx="0">
                  <c:v>1220</c:v>
                </c:pt>
                <c:pt idx="1">
                  <c:v>414</c:v>
                </c:pt>
                <c:pt idx="2">
                  <c:v>0</c:v>
                </c:pt>
                <c:pt idx="3">
                  <c:v>0</c:v>
                </c:pt>
              </c:numCache>
            </c:numRef>
          </c:val>
          <c:extLst>
            <c:ext xmlns:c16="http://schemas.microsoft.com/office/drawing/2014/chart" uri="{C3380CC4-5D6E-409C-BE32-E72D297353CC}">
              <c16:uniqueId val="{00000008-C414-4A63-9C83-3E047B3537EC}"/>
            </c:ext>
          </c:extLst>
        </c:ser>
        <c:dLbls>
          <c:showLegendKey val="0"/>
          <c:showVal val="0"/>
          <c:showCatName val="0"/>
          <c:showSerName val="0"/>
          <c:showPercent val="0"/>
          <c:showBubbleSize val="0"/>
          <c:showLeaderLines val="0"/>
        </c:dLbls>
      </c:pie3DChart>
      <c:spPr>
        <a:noFill/>
        <a:ln>
          <a:noFill/>
        </a:ln>
        <a:effectLst/>
      </c:spPr>
    </c:plotArea>
    <c:plotVisOnly val="1"/>
    <c:dispBlanksAs val="gap"/>
    <c:showDLblsOverMax val="0"/>
  </c:chart>
  <c:spPr>
    <a:noFill/>
    <a:ln w="9525" cap="flat" cmpd="sng" algn="ctr">
      <a:noFill/>
      <a:round/>
    </a:ln>
    <a:effectLst/>
  </c:spPr>
  <c:txPr>
    <a:bodyPr/>
    <a:lstStyle/>
    <a:p>
      <a:pPr>
        <a:defRPr sz="1000"/>
      </a:pPr>
      <a:endParaRPr lang="fi-FI"/>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accent6"/>
              </a:solidFill>
              <a:ln w="25400">
                <a:solidFill>
                  <a:schemeClr val="lt1"/>
                </a:solidFill>
              </a:ln>
              <a:effectLst/>
              <a:sp3d contourW="25400">
                <a:contourClr>
                  <a:schemeClr val="lt1"/>
                </a:contourClr>
              </a:sp3d>
            </c:spPr>
            <c:extLst>
              <c:ext xmlns:c16="http://schemas.microsoft.com/office/drawing/2014/chart" uri="{C3380CC4-5D6E-409C-BE32-E72D297353CC}">
                <c16:uniqueId val="{00000001-3BA2-40F3-915B-E11CB1C21C74}"/>
              </c:ext>
            </c:extLst>
          </c:dPt>
          <c:dPt>
            <c:idx val="1"/>
            <c:bubble3D val="0"/>
            <c:spPr>
              <a:solidFill>
                <a:schemeClr val="accent5"/>
              </a:solidFill>
              <a:ln w="25400">
                <a:solidFill>
                  <a:schemeClr val="lt1"/>
                </a:solidFill>
              </a:ln>
              <a:effectLst/>
              <a:sp3d contourW="25400">
                <a:contourClr>
                  <a:schemeClr val="lt1"/>
                </a:contourClr>
              </a:sp3d>
            </c:spPr>
            <c:extLst>
              <c:ext xmlns:c16="http://schemas.microsoft.com/office/drawing/2014/chart" uri="{C3380CC4-5D6E-409C-BE32-E72D297353CC}">
                <c16:uniqueId val="{00000003-3BA2-40F3-915B-E11CB1C21C74}"/>
              </c:ext>
            </c:extLst>
          </c:dPt>
          <c:dPt>
            <c:idx val="2"/>
            <c:bubble3D val="0"/>
            <c:spPr>
              <a:solidFill>
                <a:schemeClr val="accent4"/>
              </a:solidFill>
              <a:ln w="25400">
                <a:solidFill>
                  <a:schemeClr val="lt1"/>
                </a:solidFill>
              </a:ln>
              <a:effectLst/>
              <a:sp3d contourW="25400">
                <a:contourClr>
                  <a:schemeClr val="lt1"/>
                </a:contourClr>
              </a:sp3d>
            </c:spPr>
            <c:extLst>
              <c:ext xmlns:c16="http://schemas.microsoft.com/office/drawing/2014/chart" uri="{C3380CC4-5D6E-409C-BE32-E72D297353CC}">
                <c16:uniqueId val="{00000005-3BA2-40F3-915B-E11CB1C21C74}"/>
              </c:ext>
            </c:extLst>
          </c:dPt>
          <c:dLbls>
            <c:spPr>
              <a:noFill/>
              <a:ln>
                <a:no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fi-FI"/>
              </a:p>
            </c:txPr>
            <c:showLegendKey val="0"/>
            <c:showVal val="0"/>
            <c:showCatName val="0"/>
            <c:showSerName val="0"/>
            <c:showPercent val="1"/>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ext>
            </c:extLst>
          </c:dLbls>
          <c:cat>
            <c:strRef>
              <c:f>Energiantarve!$C$9:$C$11</c:f>
              <c:strCache>
                <c:ptCount val="3"/>
                <c:pt idx="0">
                  <c:v>Energian-tarve</c:v>
                </c:pt>
                <c:pt idx="1">
                  <c:v>Kylmä-kasvatus</c:v>
                </c:pt>
                <c:pt idx="2">
                  <c:v>Vapaa-ruokinta</c:v>
                </c:pt>
              </c:strCache>
            </c:strRef>
          </c:cat>
          <c:val>
            <c:numRef>
              <c:f>Energiantarve!$D$9:$D$11</c:f>
              <c:numCache>
                <c:formatCode>#,##0</c:formatCode>
                <c:ptCount val="3"/>
                <c:pt idx="0">
                  <c:v>56407.14263249292</c:v>
                </c:pt>
                <c:pt idx="1">
                  <c:v>0</c:v>
                </c:pt>
                <c:pt idx="2">
                  <c:v>0</c:v>
                </c:pt>
              </c:numCache>
            </c:numRef>
          </c:val>
          <c:extLst>
            <c:ext xmlns:c16="http://schemas.microsoft.com/office/drawing/2014/chart" uri="{C3380CC4-5D6E-409C-BE32-E72D297353CC}">
              <c16:uniqueId val="{00000006-3BA2-40F3-915B-E11CB1C21C74}"/>
            </c:ext>
          </c:extLst>
        </c:ser>
        <c:dLbls>
          <c:showLegendKey val="0"/>
          <c:showVal val="0"/>
          <c:showCatName val="0"/>
          <c:showSerName val="0"/>
          <c:showPercent val="0"/>
          <c:showBubbleSize val="0"/>
          <c:showLeaderLines val="0"/>
        </c:dLbls>
      </c:pie3DChart>
      <c:spPr>
        <a:noFill/>
        <a:ln>
          <a:noFill/>
        </a:ln>
        <a:effectLst/>
      </c:spPr>
    </c:plotArea>
    <c:plotVisOnly val="1"/>
    <c:dispBlanksAs val="gap"/>
    <c:showDLblsOverMax val="0"/>
  </c:chart>
  <c:spPr>
    <a:noFill/>
    <a:ln w="9525" cap="flat" cmpd="sng" algn="ctr">
      <a:noFill/>
      <a:round/>
    </a:ln>
    <a:effectLst/>
  </c:spPr>
  <c:txPr>
    <a:bodyPr/>
    <a:lstStyle/>
    <a:p>
      <a:pPr>
        <a:defRPr sz="900"/>
      </a:pPr>
      <a:endParaRPr lang="fi-FI"/>
    </a:p>
  </c:tx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rgbClr val="FF66FF"/>
              </a:solidFill>
              <a:ln w="25400">
                <a:solidFill>
                  <a:schemeClr val="lt1"/>
                </a:solidFill>
              </a:ln>
              <a:effectLst/>
              <a:sp3d contourW="25400">
                <a:contourClr>
                  <a:schemeClr val="lt1"/>
                </a:contourClr>
              </a:sp3d>
            </c:spPr>
            <c:extLst>
              <c:ext xmlns:c16="http://schemas.microsoft.com/office/drawing/2014/chart" uri="{C3380CC4-5D6E-409C-BE32-E72D297353CC}">
                <c16:uniqueId val="{00000001-97B3-4DCA-A152-750AA4DEB2D3}"/>
              </c:ext>
            </c:extLst>
          </c:dPt>
          <c:dPt>
            <c:idx val="1"/>
            <c:bubble3D val="0"/>
            <c:spPr>
              <a:solidFill>
                <a:schemeClr val="accent2"/>
              </a:solidFill>
              <a:ln w="25400">
                <a:solidFill>
                  <a:schemeClr val="lt1"/>
                </a:solidFill>
              </a:ln>
              <a:effectLst/>
              <a:sp3d contourW="25400">
                <a:contourClr>
                  <a:schemeClr val="lt1"/>
                </a:contourClr>
              </a:sp3d>
            </c:spPr>
            <c:extLst>
              <c:ext xmlns:c16="http://schemas.microsoft.com/office/drawing/2014/chart" uri="{C3380CC4-5D6E-409C-BE32-E72D297353CC}">
                <c16:uniqueId val="{00000003-97B3-4DCA-A152-750AA4DEB2D3}"/>
              </c:ext>
            </c:extLst>
          </c:dPt>
          <c:dPt>
            <c:idx val="2"/>
            <c:bubble3D val="0"/>
            <c:spPr>
              <a:solidFill>
                <a:schemeClr val="accent3"/>
              </a:solidFill>
              <a:ln w="25400">
                <a:solidFill>
                  <a:schemeClr val="lt1"/>
                </a:solidFill>
              </a:ln>
              <a:effectLst/>
              <a:sp3d contourW="25400">
                <a:contourClr>
                  <a:schemeClr val="lt1"/>
                </a:contourClr>
              </a:sp3d>
            </c:spPr>
            <c:extLst>
              <c:ext xmlns:c16="http://schemas.microsoft.com/office/drawing/2014/chart" uri="{C3380CC4-5D6E-409C-BE32-E72D297353CC}">
                <c16:uniqueId val="{00000005-97B3-4DCA-A152-750AA4DEB2D3}"/>
              </c:ext>
            </c:extLst>
          </c:dPt>
          <c:dPt>
            <c:idx val="3"/>
            <c:bubble3D val="0"/>
            <c:spPr>
              <a:solidFill>
                <a:schemeClr val="accent4"/>
              </a:solidFill>
              <a:ln w="25400">
                <a:solidFill>
                  <a:schemeClr val="lt1"/>
                </a:solidFill>
              </a:ln>
              <a:effectLst/>
              <a:sp3d contourW="25400">
                <a:contourClr>
                  <a:schemeClr val="lt1"/>
                </a:contourClr>
              </a:sp3d>
            </c:spPr>
            <c:extLst>
              <c:ext xmlns:c16="http://schemas.microsoft.com/office/drawing/2014/chart" uri="{C3380CC4-5D6E-409C-BE32-E72D297353CC}">
                <c16:uniqueId val="{00000007-97B3-4DCA-A152-750AA4DEB2D3}"/>
              </c:ext>
            </c:extLst>
          </c:dPt>
          <c:dLbls>
            <c:dLbl>
              <c:idx val="0"/>
              <c:layout>
                <c:manualLayout>
                  <c:x val="-0.18478260869565219"/>
                  <c:y val="-9.28658790480721E-2"/>
                </c:manualLayout>
              </c:layout>
              <c:showLegendKey val="0"/>
              <c:showVal val="0"/>
              <c:showCatName val="1"/>
              <c:showSerName val="0"/>
              <c:showPercent val="0"/>
              <c:showBubbleSize val="0"/>
              <c:extLst>
                <c:ext xmlns:c15="http://schemas.microsoft.com/office/drawing/2012/chart" uri="{CE6537A1-D6FC-4f65-9D91-7224C49458BB}">
                  <c15:layout>
                    <c:manualLayout>
                      <c:w val="0.39855072463768115"/>
                      <c:h val="0.20903942403165976"/>
                    </c:manualLayout>
                  </c15:layout>
                </c:ext>
                <c:ext xmlns:c16="http://schemas.microsoft.com/office/drawing/2014/chart" uri="{C3380CC4-5D6E-409C-BE32-E72D297353CC}">
                  <c16:uniqueId val="{00000001-97B3-4DCA-A152-750AA4DEB2D3}"/>
                </c:ext>
              </c:extLst>
            </c:dLbl>
            <c:dLbl>
              <c:idx val="1"/>
              <c:layout>
                <c:manualLayout>
                  <c:x val="-0.13456949674768923"/>
                  <c:y val="8.9699073387562681E-2"/>
                </c:manualLayout>
              </c:layout>
              <c:showLegendKey val="0"/>
              <c:showVal val="0"/>
              <c:showCatName val="1"/>
              <c:showSerName val="0"/>
              <c:showPercent val="0"/>
              <c:showBubbleSize val="0"/>
              <c:extLst>
                <c:ext xmlns:c15="http://schemas.microsoft.com/office/drawing/2012/chart" uri="{CE6537A1-D6FC-4f65-9D91-7224C49458BB}">
                  <c15:layout>
                    <c:manualLayout>
                      <c:w val="0.3559322033898305"/>
                      <c:h val="0.21637426900584794"/>
                    </c:manualLayout>
                  </c15:layout>
                </c:ext>
                <c:ext xmlns:c16="http://schemas.microsoft.com/office/drawing/2014/chart" uri="{C3380CC4-5D6E-409C-BE32-E72D297353CC}">
                  <c16:uniqueId val="{00000003-97B3-4DCA-A152-750AA4DEB2D3}"/>
                </c:ext>
              </c:extLst>
            </c:dLbl>
            <c:dLbl>
              <c:idx val="2"/>
              <c:delete val="1"/>
              <c:extLst>
                <c:ext xmlns:c15="http://schemas.microsoft.com/office/drawing/2012/chart" uri="{CE6537A1-D6FC-4f65-9D91-7224C49458BB}"/>
                <c:ext xmlns:c16="http://schemas.microsoft.com/office/drawing/2014/chart" uri="{C3380CC4-5D6E-409C-BE32-E72D297353CC}">
                  <c16:uniqueId val="{00000005-97B3-4DCA-A152-750AA4DEB2D3}"/>
                </c:ext>
              </c:extLst>
            </c:dLbl>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mn-lt"/>
                    <a:ea typeface="+mn-ea"/>
                    <a:cs typeface="+mn-cs"/>
                  </a:defRPr>
                </a:pPr>
                <a:endParaRPr lang="fi-FI"/>
              </a:p>
            </c:txPr>
            <c:showLegendKey val="0"/>
            <c:showVal val="0"/>
            <c:showCatName val="1"/>
            <c:showSerName val="0"/>
            <c:showPercent val="0"/>
            <c:showBubbleSize val="0"/>
            <c:showLeaderLines val="0"/>
            <c:extLst>
              <c:ext xmlns:c15="http://schemas.microsoft.com/office/drawing/2012/chart" uri="{CE6537A1-D6FC-4f65-9D91-7224C49458BB}"/>
            </c:extLst>
          </c:dLbls>
          <c:cat>
            <c:strRef>
              <c:f>'Lihasonnin tuotantokustannus'!$P$5:$P$8</c:f>
              <c:strCache>
                <c:ptCount val="4"/>
                <c:pt idx="0">
                  <c:v>Lihasonni</c:v>
                </c:pt>
                <c:pt idx="1">
                  <c:v>Lihahieho</c:v>
                </c:pt>
                <c:pt idx="2">
                  <c:v>Muut</c:v>
                </c:pt>
                <c:pt idx="3">
                  <c:v>Tuet</c:v>
                </c:pt>
              </c:strCache>
            </c:strRef>
          </c:cat>
          <c:val>
            <c:numRef>
              <c:f>'Lihasonnin tuotantokustannus'!$Q$5:$Q$8</c:f>
              <c:numCache>
                <c:formatCode>#,##0</c:formatCode>
                <c:ptCount val="4"/>
                <c:pt idx="0">
                  <c:v>1220</c:v>
                </c:pt>
                <c:pt idx="1">
                  <c:v>414</c:v>
                </c:pt>
                <c:pt idx="2">
                  <c:v>0</c:v>
                </c:pt>
                <c:pt idx="3">
                  <c:v>0</c:v>
                </c:pt>
              </c:numCache>
            </c:numRef>
          </c:val>
          <c:extLst>
            <c:ext xmlns:c16="http://schemas.microsoft.com/office/drawing/2014/chart" uri="{C3380CC4-5D6E-409C-BE32-E72D297353CC}">
              <c16:uniqueId val="{00000008-97B3-4DCA-A152-750AA4DEB2D3}"/>
            </c:ext>
          </c:extLst>
        </c:ser>
        <c:dLbls>
          <c:showLegendKey val="0"/>
          <c:showVal val="0"/>
          <c:showCatName val="0"/>
          <c:showSerName val="0"/>
          <c:showPercent val="0"/>
          <c:showBubbleSize val="0"/>
          <c:showLeaderLines val="0"/>
        </c:dLbls>
      </c:pie3DChart>
      <c:spPr>
        <a:noFill/>
        <a:ln>
          <a:noFill/>
        </a:ln>
        <a:effectLst/>
      </c:spPr>
    </c:plotArea>
    <c:plotVisOnly val="1"/>
    <c:dispBlanksAs val="gap"/>
    <c:showDLblsOverMax val="0"/>
  </c:chart>
  <c:spPr>
    <a:noFill/>
    <a:ln w="9525" cap="flat" cmpd="sng" algn="ctr">
      <a:noFill/>
      <a:round/>
    </a:ln>
    <a:effectLst/>
  </c:spPr>
  <c:txPr>
    <a:bodyPr/>
    <a:lstStyle/>
    <a:p>
      <a:pPr>
        <a:defRPr sz="1000"/>
      </a:pPr>
      <a:endParaRPr lang="fi-FI"/>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accent6"/>
              </a:solidFill>
              <a:ln w="25400">
                <a:solidFill>
                  <a:schemeClr val="lt1"/>
                </a:solidFill>
              </a:ln>
              <a:effectLst/>
              <a:sp3d contourW="25400">
                <a:contourClr>
                  <a:schemeClr val="lt1"/>
                </a:contourClr>
              </a:sp3d>
            </c:spPr>
            <c:extLst>
              <c:ext xmlns:c16="http://schemas.microsoft.com/office/drawing/2014/chart" uri="{C3380CC4-5D6E-409C-BE32-E72D297353CC}">
                <c16:uniqueId val="{00000001-EE9E-4A77-BE80-1FD5FC99BEAA}"/>
              </c:ext>
            </c:extLst>
          </c:dPt>
          <c:dPt>
            <c:idx val="1"/>
            <c:bubble3D val="0"/>
            <c:spPr>
              <a:solidFill>
                <a:schemeClr val="accent5"/>
              </a:solidFill>
              <a:ln w="25400">
                <a:solidFill>
                  <a:schemeClr val="lt1"/>
                </a:solidFill>
              </a:ln>
              <a:effectLst/>
              <a:sp3d contourW="25400">
                <a:contourClr>
                  <a:schemeClr val="lt1"/>
                </a:contourClr>
              </a:sp3d>
            </c:spPr>
            <c:extLst>
              <c:ext xmlns:c16="http://schemas.microsoft.com/office/drawing/2014/chart" uri="{C3380CC4-5D6E-409C-BE32-E72D297353CC}">
                <c16:uniqueId val="{00000003-EE9E-4A77-BE80-1FD5FC99BEAA}"/>
              </c:ext>
            </c:extLst>
          </c:dPt>
          <c:dPt>
            <c:idx val="2"/>
            <c:bubble3D val="0"/>
            <c:spPr>
              <a:solidFill>
                <a:schemeClr val="accent4"/>
              </a:solidFill>
              <a:ln w="25400">
                <a:solidFill>
                  <a:schemeClr val="lt1"/>
                </a:solidFill>
              </a:ln>
              <a:effectLst/>
              <a:sp3d contourW="25400">
                <a:contourClr>
                  <a:schemeClr val="lt1"/>
                </a:contourClr>
              </a:sp3d>
            </c:spPr>
            <c:extLst>
              <c:ext xmlns:c16="http://schemas.microsoft.com/office/drawing/2014/chart" uri="{C3380CC4-5D6E-409C-BE32-E72D297353CC}">
                <c16:uniqueId val="{00000005-EE9E-4A77-BE80-1FD5FC99BEAA}"/>
              </c:ext>
            </c:extLst>
          </c:dPt>
          <c:dLbls>
            <c:spPr>
              <a:noFill/>
              <a:ln>
                <a:noFill/>
              </a:ln>
              <a:effectLst/>
            </c:spPr>
            <c:txPr>
              <a:bodyPr rot="0" spcFirstLastPara="1" vertOverflow="clip" horzOverflow="clip" vert="horz" wrap="square" lIns="36576" tIns="18288" rIns="36576" bIns="18288" anchor="ctr" anchorCtr="1">
                <a:spAutoFit/>
              </a:bodyPr>
              <a:lstStyle/>
              <a:p>
                <a:pPr>
                  <a:defRPr sz="1000" b="0" i="0" u="none" strike="noStrike" kern="1200" baseline="0">
                    <a:solidFill>
                      <a:schemeClr val="dk1">
                        <a:lumMod val="65000"/>
                        <a:lumOff val="35000"/>
                      </a:schemeClr>
                    </a:solidFill>
                    <a:latin typeface="+mn-lt"/>
                    <a:ea typeface="+mn-ea"/>
                    <a:cs typeface="+mn-cs"/>
                  </a:defRPr>
                </a:pPr>
                <a:endParaRPr lang="fi-FI"/>
              </a:p>
            </c:txPr>
            <c:showLegendKey val="0"/>
            <c:showVal val="0"/>
            <c:showCatName val="0"/>
            <c:showSerName val="0"/>
            <c:showPercent val="1"/>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ext>
            </c:extLst>
          </c:dLbls>
          <c:cat>
            <c:strRef>
              <c:f>Energiantarve!$C$33:$C$35</c:f>
              <c:strCache>
                <c:ptCount val="3"/>
                <c:pt idx="0">
                  <c:v>Energian-tarve</c:v>
                </c:pt>
                <c:pt idx="1">
                  <c:v>Kylmä-kasvatus</c:v>
                </c:pt>
                <c:pt idx="2">
                  <c:v>Vapaa-ruokinta</c:v>
                </c:pt>
              </c:strCache>
            </c:strRef>
          </c:cat>
          <c:val>
            <c:numRef>
              <c:f>Energiantarve!$D$33:$D$35</c:f>
              <c:numCache>
                <c:formatCode>#,##0</c:formatCode>
                <c:ptCount val="3"/>
                <c:pt idx="0">
                  <c:v>51928.800000000003</c:v>
                </c:pt>
                <c:pt idx="1">
                  <c:v>5192.880000000001</c:v>
                </c:pt>
                <c:pt idx="2">
                  <c:v>5192.880000000001</c:v>
                </c:pt>
              </c:numCache>
            </c:numRef>
          </c:val>
          <c:extLst>
            <c:ext xmlns:c16="http://schemas.microsoft.com/office/drawing/2014/chart" uri="{C3380CC4-5D6E-409C-BE32-E72D297353CC}">
              <c16:uniqueId val="{00000006-EE9E-4A77-BE80-1FD5FC99BEAA}"/>
            </c:ext>
          </c:extLst>
        </c:ser>
        <c:dLbls>
          <c:showLegendKey val="0"/>
          <c:showVal val="1"/>
          <c:showCatName val="0"/>
          <c:showSerName val="0"/>
          <c:showPercent val="0"/>
          <c:showBubbleSize val="0"/>
          <c:showLeaderLines val="0"/>
        </c:dLbls>
      </c:pie3DChart>
      <c:spPr>
        <a:noFill/>
        <a:ln>
          <a:noFill/>
        </a:ln>
        <a:effectLst/>
      </c:spPr>
    </c:plotArea>
    <c:plotVisOnly val="1"/>
    <c:dispBlanksAs val="gap"/>
    <c:showDLblsOverMax val="0"/>
  </c:chart>
  <c:spPr>
    <a:noFill/>
    <a:ln w="9525" cap="flat" cmpd="sng" algn="ctr">
      <a:noFill/>
      <a:round/>
    </a:ln>
    <a:effectLst/>
  </c:spPr>
  <c:txPr>
    <a:bodyPr/>
    <a:lstStyle/>
    <a:p>
      <a:pPr>
        <a:defRPr sz="1000"/>
      </a:pPr>
      <a:endParaRPr lang="fi-FI"/>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accent6"/>
              </a:solidFill>
              <a:ln w="25400">
                <a:solidFill>
                  <a:schemeClr val="lt1"/>
                </a:solidFill>
              </a:ln>
              <a:effectLst/>
              <a:sp3d contourW="25400">
                <a:contourClr>
                  <a:schemeClr val="lt1"/>
                </a:contourClr>
              </a:sp3d>
            </c:spPr>
            <c:extLst>
              <c:ext xmlns:c16="http://schemas.microsoft.com/office/drawing/2014/chart" uri="{C3380CC4-5D6E-409C-BE32-E72D297353CC}">
                <c16:uniqueId val="{00000001-ABD9-4436-AB40-468B5D7EBC06}"/>
              </c:ext>
            </c:extLst>
          </c:dPt>
          <c:dPt>
            <c:idx val="1"/>
            <c:bubble3D val="0"/>
            <c:spPr>
              <a:solidFill>
                <a:schemeClr val="accent5"/>
              </a:solidFill>
              <a:ln w="25400">
                <a:solidFill>
                  <a:schemeClr val="lt1"/>
                </a:solidFill>
              </a:ln>
              <a:effectLst/>
              <a:sp3d contourW="25400">
                <a:contourClr>
                  <a:schemeClr val="lt1"/>
                </a:contourClr>
              </a:sp3d>
            </c:spPr>
            <c:extLst>
              <c:ext xmlns:c16="http://schemas.microsoft.com/office/drawing/2014/chart" uri="{C3380CC4-5D6E-409C-BE32-E72D297353CC}">
                <c16:uniqueId val="{00000003-ABD9-4436-AB40-468B5D7EBC06}"/>
              </c:ext>
            </c:extLst>
          </c:dPt>
          <c:dPt>
            <c:idx val="2"/>
            <c:bubble3D val="0"/>
            <c:spPr>
              <a:solidFill>
                <a:schemeClr val="accent4"/>
              </a:solidFill>
              <a:ln w="25400">
                <a:solidFill>
                  <a:schemeClr val="lt1"/>
                </a:solidFill>
              </a:ln>
              <a:effectLst/>
              <a:sp3d contourW="25400">
                <a:contourClr>
                  <a:schemeClr val="lt1"/>
                </a:contourClr>
              </a:sp3d>
            </c:spPr>
            <c:extLst>
              <c:ext xmlns:c16="http://schemas.microsoft.com/office/drawing/2014/chart" uri="{C3380CC4-5D6E-409C-BE32-E72D297353CC}">
                <c16:uniqueId val="{00000005-ABD9-4436-AB40-468B5D7EBC06}"/>
              </c:ext>
            </c:extLst>
          </c:dPt>
          <c:dLbls>
            <c:spPr>
              <a:noFill/>
              <a:ln>
                <a:noFill/>
              </a:ln>
              <a:effectLst/>
            </c:spPr>
            <c:txPr>
              <a:bodyPr rot="0" spcFirstLastPara="1" vertOverflow="clip" horzOverflow="clip" vert="horz" wrap="square" lIns="36576" tIns="18288" rIns="36576" bIns="18288" anchor="ctr" anchorCtr="1">
                <a:spAutoFit/>
              </a:bodyPr>
              <a:lstStyle/>
              <a:p>
                <a:pPr>
                  <a:defRPr sz="1000" b="0" i="0" u="none" strike="noStrike" kern="1200" baseline="0">
                    <a:solidFill>
                      <a:schemeClr val="dk1">
                        <a:lumMod val="65000"/>
                        <a:lumOff val="35000"/>
                      </a:schemeClr>
                    </a:solidFill>
                    <a:latin typeface="+mn-lt"/>
                    <a:ea typeface="+mn-ea"/>
                    <a:cs typeface="+mn-cs"/>
                  </a:defRPr>
                </a:pPr>
                <a:endParaRPr lang="fi-FI"/>
              </a:p>
            </c:txPr>
            <c:showLegendKey val="0"/>
            <c:showVal val="0"/>
            <c:showCatName val="0"/>
            <c:showSerName val="0"/>
            <c:showPercent val="1"/>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ext>
            </c:extLst>
          </c:dLbls>
          <c:cat>
            <c:strRef>
              <c:f>Energiantarve!$C$39:$C$41</c:f>
              <c:strCache>
                <c:ptCount val="3"/>
                <c:pt idx="0">
                  <c:v>Energian-tarve</c:v>
                </c:pt>
                <c:pt idx="1">
                  <c:v>Kylmä-kasvatus</c:v>
                </c:pt>
                <c:pt idx="2">
                  <c:v>Vapaa-ruokinta</c:v>
                </c:pt>
              </c:strCache>
            </c:strRef>
          </c:cat>
          <c:val>
            <c:numRef>
              <c:f>Energiantarve!$D$39:$D$41</c:f>
              <c:numCache>
                <c:formatCode>#,##0</c:formatCode>
                <c:ptCount val="3"/>
                <c:pt idx="0">
                  <c:v>36547.875</c:v>
                </c:pt>
                <c:pt idx="1">
                  <c:v>3654.7875000000004</c:v>
                </c:pt>
                <c:pt idx="2">
                  <c:v>3654.7875000000004</c:v>
                </c:pt>
              </c:numCache>
            </c:numRef>
          </c:val>
          <c:extLst>
            <c:ext xmlns:c16="http://schemas.microsoft.com/office/drawing/2014/chart" uri="{C3380CC4-5D6E-409C-BE32-E72D297353CC}">
              <c16:uniqueId val="{00000006-ABD9-4436-AB40-468B5D7EBC06}"/>
            </c:ext>
          </c:extLst>
        </c:ser>
        <c:dLbls>
          <c:showLegendKey val="0"/>
          <c:showVal val="1"/>
          <c:showCatName val="0"/>
          <c:showSerName val="0"/>
          <c:showPercent val="0"/>
          <c:showBubbleSize val="0"/>
          <c:showLeaderLines val="0"/>
        </c:dLbls>
      </c:pie3DChart>
      <c:spPr>
        <a:noFill/>
        <a:ln>
          <a:noFill/>
        </a:ln>
        <a:effectLst/>
      </c:spPr>
    </c:plotArea>
    <c:plotVisOnly val="1"/>
    <c:dispBlanksAs val="gap"/>
    <c:showDLblsOverMax val="0"/>
  </c:chart>
  <c:spPr>
    <a:noFill/>
    <a:ln w="9525" cap="flat" cmpd="sng" algn="ctr">
      <a:noFill/>
      <a:round/>
    </a:ln>
    <a:effectLst/>
  </c:spPr>
  <c:txPr>
    <a:bodyPr/>
    <a:lstStyle/>
    <a:p>
      <a:pPr>
        <a:defRPr sz="1000"/>
      </a:pPr>
      <a:endParaRPr lang="fi-FI"/>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accent6"/>
              </a:solidFill>
              <a:ln w="25400">
                <a:solidFill>
                  <a:schemeClr val="lt1"/>
                </a:solidFill>
              </a:ln>
              <a:effectLst/>
              <a:sp3d contourW="25400">
                <a:contourClr>
                  <a:schemeClr val="lt1"/>
                </a:contourClr>
              </a:sp3d>
            </c:spPr>
            <c:extLst>
              <c:ext xmlns:c16="http://schemas.microsoft.com/office/drawing/2014/chart" uri="{C3380CC4-5D6E-409C-BE32-E72D297353CC}">
                <c16:uniqueId val="{00000001-31D0-48B7-A487-01D20DD1607A}"/>
              </c:ext>
            </c:extLst>
          </c:dPt>
          <c:dPt>
            <c:idx val="1"/>
            <c:bubble3D val="0"/>
            <c:spPr>
              <a:solidFill>
                <a:schemeClr val="accent5"/>
              </a:solidFill>
              <a:ln w="25400">
                <a:solidFill>
                  <a:schemeClr val="lt1"/>
                </a:solidFill>
              </a:ln>
              <a:effectLst/>
              <a:sp3d contourW="25400">
                <a:contourClr>
                  <a:schemeClr val="lt1"/>
                </a:contourClr>
              </a:sp3d>
            </c:spPr>
            <c:extLst>
              <c:ext xmlns:c16="http://schemas.microsoft.com/office/drawing/2014/chart" uri="{C3380CC4-5D6E-409C-BE32-E72D297353CC}">
                <c16:uniqueId val="{00000003-31D0-48B7-A487-01D20DD1607A}"/>
              </c:ext>
            </c:extLst>
          </c:dPt>
          <c:dPt>
            <c:idx val="2"/>
            <c:bubble3D val="0"/>
            <c:spPr>
              <a:solidFill>
                <a:schemeClr val="accent4"/>
              </a:solidFill>
              <a:ln w="25400">
                <a:solidFill>
                  <a:schemeClr val="lt1"/>
                </a:solidFill>
              </a:ln>
              <a:effectLst/>
              <a:sp3d contourW="25400">
                <a:contourClr>
                  <a:schemeClr val="lt1"/>
                </a:contourClr>
              </a:sp3d>
            </c:spPr>
            <c:extLst>
              <c:ext xmlns:c16="http://schemas.microsoft.com/office/drawing/2014/chart" uri="{C3380CC4-5D6E-409C-BE32-E72D297353CC}">
                <c16:uniqueId val="{00000005-31D0-48B7-A487-01D20DD1607A}"/>
              </c:ext>
            </c:extLst>
          </c:dPt>
          <c:dLbls>
            <c:spPr>
              <a:noFill/>
              <a:ln>
                <a:noFill/>
              </a:ln>
              <a:effectLst/>
            </c:spPr>
            <c:txPr>
              <a:bodyPr rot="0" spcFirstLastPara="1" vertOverflow="clip" horzOverflow="clip" vert="horz" wrap="square" lIns="36576" tIns="18288" rIns="36576" bIns="18288" anchor="ctr" anchorCtr="1">
                <a:spAutoFit/>
              </a:bodyPr>
              <a:lstStyle/>
              <a:p>
                <a:pPr>
                  <a:defRPr sz="1000" b="0" i="0" u="none" strike="noStrike" kern="1200" baseline="0">
                    <a:solidFill>
                      <a:schemeClr val="dk1">
                        <a:lumMod val="65000"/>
                        <a:lumOff val="35000"/>
                      </a:schemeClr>
                    </a:solidFill>
                    <a:latin typeface="+mn-lt"/>
                    <a:ea typeface="+mn-ea"/>
                    <a:cs typeface="+mn-cs"/>
                  </a:defRPr>
                </a:pPr>
                <a:endParaRPr lang="fi-FI"/>
              </a:p>
            </c:txPr>
            <c:showLegendKey val="0"/>
            <c:showVal val="0"/>
            <c:showCatName val="0"/>
            <c:showSerName val="0"/>
            <c:showPercent val="1"/>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ext>
            </c:extLst>
          </c:dLbls>
          <c:cat>
            <c:strRef>
              <c:f>Energiantarve!$C$28:$C$30</c:f>
              <c:strCache>
                <c:ptCount val="3"/>
                <c:pt idx="0">
                  <c:v>Energian-tarve</c:v>
                </c:pt>
                <c:pt idx="1">
                  <c:v>Kylmä-kasvatus</c:v>
                </c:pt>
                <c:pt idx="2">
                  <c:v>Vapaa-ruokinta</c:v>
                </c:pt>
              </c:strCache>
            </c:strRef>
          </c:cat>
          <c:val>
            <c:numRef>
              <c:f>Energiantarve!$D$28:$D$30</c:f>
              <c:numCache>
                <c:formatCode>#,##0</c:formatCode>
                <c:ptCount val="3"/>
                <c:pt idx="0">
                  <c:v>0</c:v>
                </c:pt>
                <c:pt idx="1">
                  <c:v>0</c:v>
                </c:pt>
                <c:pt idx="2" formatCode="General">
                  <c:v>0</c:v>
                </c:pt>
              </c:numCache>
            </c:numRef>
          </c:val>
          <c:extLst>
            <c:ext xmlns:c16="http://schemas.microsoft.com/office/drawing/2014/chart" uri="{C3380CC4-5D6E-409C-BE32-E72D297353CC}">
              <c16:uniqueId val="{00000006-31D0-48B7-A487-01D20DD1607A}"/>
            </c:ext>
          </c:extLst>
        </c:ser>
        <c:dLbls>
          <c:showLegendKey val="0"/>
          <c:showVal val="1"/>
          <c:showCatName val="0"/>
          <c:showSerName val="0"/>
          <c:showPercent val="0"/>
          <c:showBubbleSize val="0"/>
          <c:showLeaderLines val="0"/>
        </c:dLbls>
      </c:pie3DChart>
      <c:spPr>
        <a:noFill/>
        <a:ln>
          <a:noFill/>
        </a:ln>
        <a:effectLst/>
      </c:spPr>
    </c:plotArea>
    <c:plotVisOnly val="1"/>
    <c:dispBlanksAs val="gap"/>
    <c:showDLblsOverMax val="0"/>
  </c:chart>
  <c:spPr>
    <a:noFill/>
    <a:ln w="9525" cap="flat" cmpd="sng" algn="ctr">
      <a:noFill/>
      <a:round/>
    </a:ln>
    <a:effectLst/>
  </c:spPr>
  <c:txPr>
    <a:bodyPr/>
    <a:lstStyle/>
    <a:p>
      <a:pPr>
        <a:defRPr sz="1000"/>
      </a:pPr>
      <a:endParaRPr lang="fi-FI"/>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accent6"/>
              </a:solidFill>
              <a:ln w="25400">
                <a:solidFill>
                  <a:schemeClr val="lt1"/>
                </a:solidFill>
              </a:ln>
              <a:effectLst/>
              <a:sp3d contourW="25400">
                <a:contourClr>
                  <a:schemeClr val="lt1"/>
                </a:contourClr>
              </a:sp3d>
            </c:spPr>
            <c:extLst>
              <c:ext xmlns:c16="http://schemas.microsoft.com/office/drawing/2014/chart" uri="{C3380CC4-5D6E-409C-BE32-E72D297353CC}">
                <c16:uniqueId val="{00000001-601B-4ECE-9B4A-57FC99862824}"/>
              </c:ext>
            </c:extLst>
          </c:dPt>
          <c:dPt>
            <c:idx val="1"/>
            <c:bubble3D val="0"/>
            <c:spPr>
              <a:solidFill>
                <a:schemeClr val="accent5"/>
              </a:solidFill>
              <a:ln w="25400">
                <a:solidFill>
                  <a:schemeClr val="lt1"/>
                </a:solidFill>
              </a:ln>
              <a:effectLst/>
              <a:sp3d contourW="25400">
                <a:contourClr>
                  <a:schemeClr val="lt1"/>
                </a:contourClr>
              </a:sp3d>
            </c:spPr>
            <c:extLst>
              <c:ext xmlns:c16="http://schemas.microsoft.com/office/drawing/2014/chart" uri="{C3380CC4-5D6E-409C-BE32-E72D297353CC}">
                <c16:uniqueId val="{00000003-601B-4ECE-9B4A-57FC99862824}"/>
              </c:ext>
            </c:extLst>
          </c:dPt>
          <c:dPt>
            <c:idx val="2"/>
            <c:bubble3D val="0"/>
            <c:spPr>
              <a:solidFill>
                <a:schemeClr val="accent4"/>
              </a:solidFill>
              <a:ln w="25400">
                <a:solidFill>
                  <a:schemeClr val="lt1"/>
                </a:solidFill>
              </a:ln>
              <a:effectLst/>
              <a:sp3d contourW="25400">
                <a:contourClr>
                  <a:schemeClr val="lt1"/>
                </a:contourClr>
              </a:sp3d>
            </c:spPr>
            <c:extLst>
              <c:ext xmlns:c16="http://schemas.microsoft.com/office/drawing/2014/chart" uri="{C3380CC4-5D6E-409C-BE32-E72D297353CC}">
                <c16:uniqueId val="{00000005-601B-4ECE-9B4A-57FC99862824}"/>
              </c:ext>
            </c:extLst>
          </c:dPt>
          <c:dLbls>
            <c:dLbl>
              <c:idx val="1"/>
              <c:layout>
                <c:manualLayout>
                  <c:x val="-1.9097006161789574E-2"/>
                  <c:y val="0.11896353381359245"/>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601B-4ECE-9B4A-57FC99862824}"/>
                </c:ext>
              </c:extLst>
            </c:dLbl>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mn-lt"/>
                    <a:ea typeface="+mn-ea"/>
                    <a:cs typeface="+mn-cs"/>
                  </a:defRPr>
                </a:pPr>
                <a:endParaRPr lang="fi-FI"/>
              </a:p>
            </c:txPr>
            <c:showLegendKey val="0"/>
            <c:showVal val="0"/>
            <c:showCatName val="0"/>
            <c:showSerName val="0"/>
            <c:showPercent val="1"/>
            <c:showBubbleSize val="0"/>
            <c:showLeaderLines val="0"/>
            <c:extLst>
              <c:ext xmlns:c15="http://schemas.microsoft.com/office/drawing/2012/chart" uri="{CE6537A1-D6FC-4f65-9D91-7224C49458BB}"/>
            </c:extLst>
          </c:dLbls>
          <c:cat>
            <c:strRef>
              <c:f>Energiantarve!$C$16:$C$18</c:f>
              <c:strCache>
                <c:ptCount val="3"/>
                <c:pt idx="0">
                  <c:v>Energian-tarve</c:v>
                </c:pt>
                <c:pt idx="1">
                  <c:v>Kylmä-kasvatus</c:v>
                </c:pt>
                <c:pt idx="2">
                  <c:v>Vapaa-ruokinta</c:v>
                </c:pt>
              </c:strCache>
            </c:strRef>
          </c:cat>
          <c:val>
            <c:numRef>
              <c:f>Energiantarve!$D$16:$D$18</c:f>
              <c:numCache>
                <c:formatCode>#,##0</c:formatCode>
                <c:ptCount val="3"/>
                <c:pt idx="0">
                  <c:v>54201</c:v>
                </c:pt>
                <c:pt idx="1">
                  <c:v>0</c:v>
                </c:pt>
                <c:pt idx="2" formatCode="General">
                  <c:v>0</c:v>
                </c:pt>
              </c:numCache>
            </c:numRef>
          </c:val>
          <c:extLst>
            <c:ext xmlns:c16="http://schemas.microsoft.com/office/drawing/2014/chart" uri="{C3380CC4-5D6E-409C-BE32-E72D297353CC}">
              <c16:uniqueId val="{00000006-601B-4ECE-9B4A-57FC99862824}"/>
            </c:ext>
          </c:extLst>
        </c:ser>
        <c:dLbls>
          <c:showLegendKey val="0"/>
          <c:showVal val="0"/>
          <c:showCatName val="0"/>
          <c:showSerName val="0"/>
          <c:showPercent val="0"/>
          <c:showBubbleSize val="0"/>
          <c:showLeaderLines val="0"/>
        </c:dLbls>
      </c:pie3DChart>
      <c:spPr>
        <a:noFill/>
        <a:ln>
          <a:noFill/>
        </a:ln>
        <a:effectLst/>
      </c:spPr>
    </c:plotArea>
    <c:plotVisOnly val="1"/>
    <c:dispBlanksAs val="gap"/>
    <c:showDLblsOverMax val="0"/>
  </c:chart>
  <c:spPr>
    <a:noFill/>
    <a:ln w="9525" cap="flat" cmpd="sng" algn="ctr">
      <a:noFill/>
      <a:round/>
    </a:ln>
    <a:effectLst/>
  </c:spPr>
  <c:txPr>
    <a:bodyPr/>
    <a:lstStyle/>
    <a:p>
      <a:pPr>
        <a:defRPr sz="1000"/>
      </a:pPr>
      <a:endParaRPr lang="fi-FI"/>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accent6"/>
              </a:solidFill>
              <a:ln w="25400">
                <a:solidFill>
                  <a:schemeClr val="lt1"/>
                </a:solidFill>
              </a:ln>
              <a:effectLst/>
              <a:sp3d contourW="25400">
                <a:contourClr>
                  <a:schemeClr val="lt1"/>
                </a:contourClr>
              </a:sp3d>
            </c:spPr>
            <c:extLst>
              <c:ext xmlns:c16="http://schemas.microsoft.com/office/drawing/2014/chart" uri="{C3380CC4-5D6E-409C-BE32-E72D297353CC}">
                <c16:uniqueId val="{00000001-40CA-4666-8642-64D7EE65FD63}"/>
              </c:ext>
            </c:extLst>
          </c:dPt>
          <c:dPt>
            <c:idx val="1"/>
            <c:bubble3D val="0"/>
            <c:spPr>
              <a:solidFill>
                <a:schemeClr val="accent5"/>
              </a:solidFill>
              <a:ln w="25400">
                <a:solidFill>
                  <a:schemeClr val="lt1"/>
                </a:solidFill>
              </a:ln>
              <a:effectLst/>
              <a:sp3d contourW="25400">
                <a:contourClr>
                  <a:schemeClr val="lt1"/>
                </a:contourClr>
              </a:sp3d>
            </c:spPr>
            <c:extLst>
              <c:ext xmlns:c16="http://schemas.microsoft.com/office/drawing/2014/chart" uri="{C3380CC4-5D6E-409C-BE32-E72D297353CC}">
                <c16:uniqueId val="{00000003-40CA-4666-8642-64D7EE65FD63}"/>
              </c:ext>
            </c:extLst>
          </c:dPt>
          <c:dPt>
            <c:idx val="2"/>
            <c:bubble3D val="0"/>
            <c:spPr>
              <a:solidFill>
                <a:schemeClr val="accent4"/>
              </a:solidFill>
              <a:ln w="25400">
                <a:solidFill>
                  <a:schemeClr val="lt1"/>
                </a:solidFill>
              </a:ln>
              <a:effectLst/>
              <a:sp3d contourW="25400">
                <a:contourClr>
                  <a:schemeClr val="lt1"/>
                </a:contourClr>
              </a:sp3d>
            </c:spPr>
            <c:extLst>
              <c:ext xmlns:c16="http://schemas.microsoft.com/office/drawing/2014/chart" uri="{C3380CC4-5D6E-409C-BE32-E72D297353CC}">
                <c16:uniqueId val="{00000005-40CA-4666-8642-64D7EE65FD63}"/>
              </c:ext>
            </c:extLst>
          </c:dPt>
          <c:dLbls>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mn-lt"/>
                    <a:ea typeface="+mn-ea"/>
                    <a:cs typeface="+mn-cs"/>
                  </a:defRPr>
                </a:pPr>
                <a:endParaRPr lang="fi-FI"/>
              </a:p>
            </c:txPr>
            <c:showLegendKey val="0"/>
            <c:showVal val="0"/>
            <c:showCatName val="0"/>
            <c:showSerName val="0"/>
            <c:showPercent val="1"/>
            <c:showBubbleSize val="0"/>
            <c:showLeaderLines val="0"/>
            <c:extLst>
              <c:ext xmlns:c15="http://schemas.microsoft.com/office/drawing/2012/chart" uri="{CE6537A1-D6FC-4f65-9D91-7224C49458BB}"/>
            </c:extLst>
          </c:dLbls>
          <c:cat>
            <c:strRef>
              <c:f>Energiantarve!$C$45:$C$47</c:f>
              <c:strCache>
                <c:ptCount val="3"/>
                <c:pt idx="0">
                  <c:v>Energian-tarve</c:v>
                </c:pt>
                <c:pt idx="1">
                  <c:v>Kylmä-kasvatus</c:v>
                </c:pt>
                <c:pt idx="2">
                  <c:v>Vapaa-ruokinta</c:v>
                </c:pt>
              </c:strCache>
            </c:strRef>
          </c:cat>
          <c:val>
            <c:numRef>
              <c:f>Energiantarve!$D$45:$D$47</c:f>
              <c:numCache>
                <c:formatCode>#,##0</c:formatCode>
                <c:ptCount val="3"/>
                <c:pt idx="0">
                  <c:v>0</c:v>
                </c:pt>
                <c:pt idx="1">
                  <c:v>0</c:v>
                </c:pt>
                <c:pt idx="2">
                  <c:v>0</c:v>
                </c:pt>
              </c:numCache>
            </c:numRef>
          </c:val>
          <c:extLst>
            <c:ext xmlns:c16="http://schemas.microsoft.com/office/drawing/2014/chart" uri="{C3380CC4-5D6E-409C-BE32-E72D297353CC}">
              <c16:uniqueId val="{00000006-40CA-4666-8642-64D7EE65FD63}"/>
            </c:ext>
          </c:extLst>
        </c:ser>
        <c:dLbls>
          <c:showLegendKey val="0"/>
          <c:showVal val="1"/>
          <c:showCatName val="0"/>
          <c:showSerName val="0"/>
          <c:showPercent val="0"/>
          <c:showBubbleSize val="0"/>
          <c:showLeaderLines val="0"/>
        </c:dLbls>
      </c:pie3DChart>
      <c:spPr>
        <a:noFill/>
        <a:ln>
          <a:noFill/>
        </a:ln>
        <a:effectLst/>
      </c:spPr>
    </c:plotArea>
    <c:plotVisOnly val="1"/>
    <c:dispBlanksAs val="gap"/>
    <c:showDLblsOverMax val="0"/>
  </c:chart>
  <c:spPr>
    <a:noFill/>
    <a:ln w="9525" cap="flat" cmpd="sng" algn="ctr">
      <a:noFill/>
      <a:round/>
    </a:ln>
    <a:effectLst/>
  </c:spPr>
  <c:txPr>
    <a:bodyPr/>
    <a:lstStyle/>
    <a:p>
      <a:pPr>
        <a:defRPr sz="1000"/>
      </a:pPr>
      <a:endParaRPr lang="fi-FI"/>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withinLinear" id="18">
  <a:schemeClr val="accent5"/>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98">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0" i="0" u="none" strike="noStrike" kern="1200" baseline="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23.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98">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0" i="0" u="none" strike="noStrike" kern="1200" baseline="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27.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8.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9.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0.xml><?xml version="1.0" encoding="utf-8"?>
<cs:chartStyle xmlns:cs="http://schemas.microsoft.com/office/drawing/2012/chartStyle" xmlns:a="http://schemas.openxmlformats.org/drawingml/2006/main" id="298">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0" i="0" u="none" strike="noStrike" kern="1200" baseline="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31.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2.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3.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4.xml><?xml version="1.0" encoding="utf-8"?>
<cs:chartStyle xmlns:cs="http://schemas.microsoft.com/office/drawing/2012/chartStyle" xmlns:a="http://schemas.openxmlformats.org/drawingml/2006/main" id="298">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0" i="0" u="none" strike="noStrike" kern="1200" baseline="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35.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6.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7.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8.xml><?xml version="1.0" encoding="utf-8"?>
<cs:chartStyle xmlns:cs="http://schemas.microsoft.com/office/drawing/2012/chartStyle" xmlns:a="http://schemas.openxmlformats.org/drawingml/2006/main" id="298">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0" i="0" u="none" strike="noStrike" kern="1200" baseline="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39.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0.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iagrams/_rels/data1.xml.rels><?xml version="1.0" encoding="UTF-8" standalone="yes"?>
<Relationships xmlns="http://schemas.openxmlformats.org/package/2006/relationships"><Relationship Id="rId8" Type="http://schemas.openxmlformats.org/officeDocument/2006/relationships/hyperlink" Target="#'Rehun k&#228;ytt&#246;, nettosato'!A2"/><Relationship Id="rId3" Type="http://schemas.openxmlformats.org/officeDocument/2006/relationships/hyperlink" Target="#H&#228;vikki!A2"/><Relationship Id="rId7" Type="http://schemas.openxmlformats.org/officeDocument/2006/relationships/hyperlink" Target="#Yhteenveto!A3"/><Relationship Id="rId2" Type="http://schemas.openxmlformats.org/officeDocument/2006/relationships/hyperlink" Target="#L&#228;ht&#246;tiedot!A2"/><Relationship Id="rId1" Type="http://schemas.openxmlformats.org/officeDocument/2006/relationships/hyperlink" Target="#Ohje!A2"/><Relationship Id="rId6" Type="http://schemas.openxmlformats.org/officeDocument/2006/relationships/hyperlink" Target="#Tuotantokustannusvertailu!A2"/><Relationship Id="rId5" Type="http://schemas.openxmlformats.org/officeDocument/2006/relationships/hyperlink" Target="#Maidontuotantokustannus!A2"/><Relationship Id="rId4" Type="http://schemas.openxmlformats.org/officeDocument/2006/relationships/hyperlink" Target="#'S&#228;il&#246;rehun tuotantokustannus'!A2"/><Relationship Id="rId9" Type="http://schemas.openxmlformats.org/officeDocument/2006/relationships/hyperlink" Target="#Rehuntuotanto!A2"/></Relationships>
</file>

<file path=xl/diagrams/colors1.xml><?xml version="1.0" encoding="utf-8"?>
<dgm:colorsDef xmlns:dgm="http://schemas.openxmlformats.org/drawingml/2006/diagram" xmlns:a="http://schemas.openxmlformats.org/drawingml/2006/main" uniqueId="urn:microsoft.com/office/officeart/2005/8/colors/colorful4">
  <dgm:title val=""/>
  <dgm:desc val=""/>
  <dgm:catLst>
    <dgm:cat type="colorful" pri="10400"/>
  </dgm:catLst>
  <dgm:styleLbl name="node0">
    <dgm:fillClrLst meth="repeat">
      <a:schemeClr val="accent3"/>
    </dgm:fillClrLst>
    <dgm:linClrLst meth="repeat">
      <a:schemeClr val="lt1"/>
    </dgm:linClrLst>
    <dgm:effectClrLst/>
    <dgm:txLinClrLst/>
    <dgm:txFillClrLst/>
    <dgm:txEffectClrLst/>
  </dgm:styleLbl>
  <dgm:styleLbl name="node1">
    <dgm:fillClrLst>
      <a:schemeClr val="accent4"/>
      <a:schemeClr val="accent5"/>
    </dgm:fillClrLst>
    <dgm:linClrLst meth="repeat">
      <a:schemeClr val="lt1"/>
    </dgm:linClrLst>
    <dgm:effectClrLst/>
    <dgm:txLinClrLst/>
    <dgm:txFillClrLst/>
    <dgm:txEffectClrLst/>
  </dgm:styleLbl>
  <dgm:styleLbl name="alignNode1">
    <dgm:fillClrLst>
      <a:schemeClr val="accent4"/>
      <a:schemeClr val="accent5"/>
    </dgm:fillClrLst>
    <dgm:linClrLst>
      <a:schemeClr val="accent4"/>
      <a:schemeClr val="accent5"/>
    </dgm:linClrLst>
    <dgm:effectClrLst/>
    <dgm:txLinClrLst/>
    <dgm:txFillClrLst/>
    <dgm:txEffectClrLst/>
  </dgm:styleLbl>
  <dgm:styleLbl name="lnNode1">
    <dgm:fillClrLst>
      <a:schemeClr val="accent4"/>
      <a:schemeClr val="accent5"/>
    </dgm:fillClrLst>
    <dgm:linClrLst meth="repeat">
      <a:schemeClr val="lt1"/>
    </dgm:linClrLst>
    <dgm:effectClrLst/>
    <dgm:txLinClrLst/>
    <dgm:txFillClrLst/>
    <dgm:txEffectClrLst/>
  </dgm:styleLbl>
  <dgm:styleLbl name="vennNode1">
    <dgm:fillClrLst>
      <a:schemeClr val="accent4">
        <a:alpha val="50000"/>
      </a:schemeClr>
      <a:schemeClr val="accent5">
        <a:alpha val="50000"/>
      </a:schemeClr>
    </dgm:fillClrLst>
    <dgm:linClrLst meth="repeat">
      <a:schemeClr val="lt1"/>
    </dgm:linClrLst>
    <dgm:effectClrLst/>
    <dgm:txLinClrLst/>
    <dgm:txFillClrLst/>
    <dgm:txEffectClrLst/>
  </dgm:styleLbl>
  <dgm:styleLbl name="node2">
    <dgm:fillClrLst>
      <a:schemeClr val="accent5"/>
    </dgm:fillClrLst>
    <dgm:linClrLst meth="repeat">
      <a:schemeClr val="lt1"/>
    </dgm:linClrLst>
    <dgm:effectClrLst/>
    <dgm:txLinClrLst/>
    <dgm:txFillClrLst/>
    <dgm:txEffectClrLst/>
  </dgm:styleLbl>
  <dgm:styleLbl name="node3">
    <dgm:fillClrLst>
      <a:schemeClr val="accent6"/>
    </dgm:fillClrLst>
    <dgm:linClrLst meth="repeat">
      <a:schemeClr val="lt1"/>
    </dgm:linClrLst>
    <dgm:effectClrLst/>
    <dgm:txLinClrLst/>
    <dgm:txFillClrLst/>
    <dgm:txEffectClrLst/>
  </dgm:styleLbl>
  <dgm:styleLbl name="node4">
    <dgm:fillClrLst>
      <a:schemeClr val="accent1"/>
    </dgm:fillClrLst>
    <dgm:linClrLst meth="repeat">
      <a:schemeClr val="lt1"/>
    </dgm:linClrLst>
    <dgm:effectClrLst/>
    <dgm:txLinClrLst/>
    <dgm:txFillClrLst/>
    <dgm:txEffectClrLst/>
  </dgm:styleLbl>
  <dgm:styleLbl name="fgImgPlace1">
    <dgm:fillClrLst>
      <a:schemeClr val="accent4">
        <a:tint val="50000"/>
      </a:schemeClr>
      <a:schemeClr val="accent5">
        <a:tint val="50000"/>
      </a:schemeClr>
    </dgm:fillClrLst>
    <dgm:linClrLst meth="repeat">
      <a:schemeClr val="lt1"/>
    </dgm:linClrLst>
    <dgm:effectClrLst/>
    <dgm:txLinClrLst/>
    <dgm:txFillClrLst meth="repeat">
      <a:schemeClr val="lt1"/>
    </dgm:txFillClrLst>
    <dgm:txEffectClrLst/>
  </dgm:styleLbl>
  <dgm:styleLbl name="alignImgPlace1">
    <dgm:fillClrLst>
      <a:schemeClr val="accent4">
        <a:tint val="50000"/>
      </a:schemeClr>
      <a:schemeClr val="accent5">
        <a:tint val="20000"/>
      </a:schemeClr>
    </dgm:fillClrLst>
    <dgm:linClrLst meth="repeat">
      <a:schemeClr val="lt1"/>
    </dgm:linClrLst>
    <dgm:effectClrLst/>
    <dgm:txLinClrLst/>
    <dgm:txFillClrLst meth="repeat">
      <a:schemeClr val="lt1"/>
    </dgm:txFillClrLst>
    <dgm:txEffectClrLst/>
  </dgm:styleLbl>
  <dgm:styleLbl name="bgImgPlace1">
    <dgm:fillClrLst>
      <a:schemeClr val="accent4">
        <a:tint val="50000"/>
      </a:schemeClr>
      <a:schemeClr val="accent5">
        <a:tint val="20000"/>
      </a:schemeClr>
    </dgm:fillClrLst>
    <dgm:linClrLst meth="repeat">
      <a:schemeClr val="lt1"/>
    </dgm:linClrLst>
    <dgm:effectClrLst/>
    <dgm:txLinClrLst/>
    <dgm:txFillClrLst meth="repeat">
      <a:schemeClr val="lt1"/>
    </dgm:txFillClrLst>
    <dgm:txEffectClrLst/>
  </dgm:styleLbl>
  <dgm:styleLbl name="sibTrans2D1">
    <dgm:fillClrLst>
      <a:schemeClr val="accent4"/>
      <a:schemeClr val="accent5"/>
    </dgm:fillClrLst>
    <dgm:linClrLst meth="repeat">
      <a:schemeClr val="lt1"/>
    </dgm:linClrLst>
    <dgm:effectClrLst/>
    <dgm:txLinClrLst/>
    <dgm:txFillClrLst/>
    <dgm:txEffectClrLst/>
  </dgm:styleLbl>
  <dgm:styleLbl name="fgSibTrans2D1">
    <dgm:fillClrLst>
      <a:schemeClr val="accent4"/>
      <a:schemeClr val="accent5"/>
    </dgm:fillClrLst>
    <dgm:linClrLst meth="repeat">
      <a:schemeClr val="lt1"/>
    </dgm:linClrLst>
    <dgm:effectClrLst/>
    <dgm:txLinClrLst/>
    <dgm:txFillClrLst meth="repeat">
      <a:schemeClr val="lt1"/>
    </dgm:txFillClrLst>
    <dgm:txEffectClrLst/>
  </dgm:styleLbl>
  <dgm:styleLbl name="bgSibTrans2D1">
    <dgm:fillClrLst>
      <a:schemeClr val="accent4"/>
      <a:schemeClr val="accent5"/>
    </dgm:fillClrLst>
    <dgm:linClrLst meth="repeat">
      <a:schemeClr val="lt1"/>
    </dgm:linClrLst>
    <dgm:effectClrLst/>
    <dgm:txLinClrLst/>
    <dgm:txFillClrLst meth="repeat">
      <a:schemeClr val="lt1"/>
    </dgm:txFillClrLst>
    <dgm:txEffectClrLst/>
  </dgm:styleLbl>
  <dgm:styleLbl name="sibTrans1D1">
    <dgm:fillClrLst/>
    <dgm:linClrLst>
      <a:schemeClr val="accent4"/>
      <a:schemeClr val="accent5"/>
    </dgm:linClrLst>
    <dgm:effectClrLst/>
    <dgm:txLinClrLst/>
    <dgm:txFillClrLst meth="repeat">
      <a:schemeClr val="tx1"/>
    </dgm:txFillClrLst>
    <dgm:txEffectClrLst/>
  </dgm:styleLbl>
  <dgm:styleLbl name="callout">
    <dgm:fillClrLst meth="repeat">
      <a:schemeClr val="accent4"/>
    </dgm:fillClrLst>
    <dgm:linClrLst meth="repeat">
      <a:schemeClr val="accent4">
        <a:tint val="50000"/>
      </a:schemeClr>
    </dgm:linClrLst>
    <dgm:effectClrLst/>
    <dgm:txLinClrLst/>
    <dgm:txFillClrLst meth="repeat">
      <a:schemeClr val="tx1"/>
    </dgm:txFillClrLst>
    <dgm:txEffectClrLst/>
  </dgm:styleLbl>
  <dgm:styleLbl name="asst0">
    <dgm:fillClrLst meth="repeat">
      <a:schemeClr val="accent4"/>
    </dgm:fillClrLst>
    <dgm:linClrLst meth="repeat">
      <a:schemeClr val="lt1">
        <a:shade val="80000"/>
      </a:schemeClr>
    </dgm:linClrLst>
    <dgm:effectClrLst/>
    <dgm:txLinClrLst/>
    <dgm:txFillClrLst/>
    <dgm:txEffectClrLst/>
  </dgm:styleLbl>
  <dgm:styleLbl name="asst1">
    <dgm:fillClrLst meth="repeat">
      <a:schemeClr val="accent5"/>
    </dgm:fillClrLst>
    <dgm:linClrLst meth="repeat">
      <a:schemeClr val="lt1">
        <a:shade val="80000"/>
      </a:schemeClr>
    </dgm:linClrLst>
    <dgm:effectClrLst/>
    <dgm:txLinClrLst/>
    <dgm:txFillClrLst/>
    <dgm:txEffectClrLst/>
  </dgm:styleLbl>
  <dgm:styleLbl name="asst2">
    <dgm:fillClrLst>
      <a:schemeClr val="accent6"/>
    </dgm:fillClrLst>
    <dgm:linClrLst meth="repeat">
      <a:schemeClr val="lt1"/>
    </dgm:linClrLst>
    <dgm:effectClrLst/>
    <dgm:txLinClrLst/>
    <dgm:txFillClrLst/>
    <dgm:txEffectClrLst/>
  </dgm:styleLbl>
  <dgm:styleLbl name="asst3">
    <dgm:fillClrLst>
      <a:schemeClr val="accent1"/>
    </dgm:fillClrLst>
    <dgm:linClrLst meth="repeat">
      <a:schemeClr val="lt1"/>
    </dgm:linClrLst>
    <dgm:effectClrLst/>
    <dgm:txLinClrLst/>
    <dgm:txFillClrLst/>
    <dgm:txEffectClrLst/>
  </dgm:styleLbl>
  <dgm:styleLbl name="asst4">
    <dgm:fillClrLst>
      <a:schemeClr val="accent2"/>
    </dgm:fillClrLst>
    <dgm:linClrLst meth="repeat">
      <a:schemeClr val="lt1"/>
    </dgm:linClrLst>
    <dgm:effectClrLst/>
    <dgm:txLinClrLst/>
    <dgm:txFillClrLst/>
    <dgm:txEffectClrLst/>
  </dgm:styleLbl>
  <dgm:styleLbl name="parChTrans2D1">
    <dgm:fillClrLst meth="repeat">
      <a:schemeClr val="accent4"/>
    </dgm:fillClrLst>
    <dgm:linClrLst meth="repeat">
      <a:schemeClr val="lt1"/>
    </dgm:linClrLst>
    <dgm:effectClrLst/>
    <dgm:txLinClrLst/>
    <dgm:txFillClrLst meth="repeat">
      <a:schemeClr val="lt1"/>
    </dgm:txFillClrLst>
    <dgm:txEffectClrLst/>
  </dgm:styleLbl>
  <dgm:styleLbl name="parChTrans2D2">
    <dgm:fillClrLst meth="repeat">
      <a:schemeClr val="accent5"/>
    </dgm:fillClrLst>
    <dgm:linClrLst meth="repeat">
      <a:schemeClr val="lt1"/>
    </dgm:linClrLst>
    <dgm:effectClrLst/>
    <dgm:txLinClrLst/>
    <dgm:txFillClrLst/>
    <dgm:txEffectClrLst/>
  </dgm:styleLbl>
  <dgm:styleLbl name="parChTrans2D3">
    <dgm:fillClrLst meth="repeat">
      <a:schemeClr val="accent5"/>
    </dgm:fillClrLst>
    <dgm:linClrLst meth="repeat">
      <a:schemeClr val="lt1"/>
    </dgm:linClrLst>
    <dgm:effectClrLst/>
    <dgm:txLinClrLst/>
    <dgm:txFillClrLst/>
    <dgm:txEffectClrLst/>
  </dgm:styleLbl>
  <dgm:styleLbl name="parChTrans2D4">
    <dgm:fillClrLst meth="repeat">
      <a:schemeClr val="accent6"/>
    </dgm:fillClrLst>
    <dgm:linClrLst meth="repeat">
      <a:schemeClr val="lt1"/>
    </dgm:linClrLst>
    <dgm:effectClrLst/>
    <dgm:txLinClrLst/>
    <dgm:txFillClrLst meth="repeat">
      <a:schemeClr val="lt1"/>
    </dgm:txFillClrLst>
    <dgm:txEffectClrLst/>
  </dgm:styleLbl>
  <dgm:styleLbl name="parChTrans1D1">
    <dgm:fillClrLst meth="repeat">
      <a:schemeClr val="accent4"/>
    </dgm:fillClrLst>
    <dgm:linClrLst meth="repeat">
      <a:schemeClr val="accent4"/>
    </dgm:linClrLst>
    <dgm:effectClrLst/>
    <dgm:txLinClrLst/>
    <dgm:txFillClrLst meth="repeat">
      <a:schemeClr val="tx1"/>
    </dgm:txFillClrLst>
    <dgm:txEffectClrLst/>
  </dgm:styleLbl>
  <dgm:styleLbl name="parChTrans1D2">
    <dgm:fillClrLst meth="repeat">
      <a:schemeClr val="accent4">
        <a:tint val="90000"/>
      </a:schemeClr>
    </dgm:fillClrLst>
    <dgm:linClrLst meth="repeat">
      <a:schemeClr val="accent5"/>
    </dgm:linClrLst>
    <dgm:effectClrLst/>
    <dgm:txLinClrLst/>
    <dgm:txFillClrLst meth="repeat">
      <a:schemeClr val="tx1"/>
    </dgm:txFillClrLst>
    <dgm:txEffectClrLst/>
  </dgm:styleLbl>
  <dgm:styleLbl name="parChTrans1D3">
    <dgm:fillClrLst meth="repeat">
      <a:schemeClr val="accent4">
        <a:tint val="70000"/>
      </a:schemeClr>
    </dgm:fillClrLst>
    <dgm:linClrLst meth="repeat">
      <a:schemeClr val="accent6"/>
    </dgm:linClrLst>
    <dgm:effectClrLst/>
    <dgm:txLinClrLst/>
    <dgm:txFillClrLst meth="repeat">
      <a:schemeClr val="tx1"/>
    </dgm:txFillClrLst>
    <dgm:txEffectClrLst/>
  </dgm:styleLbl>
  <dgm:styleLbl name="parChTrans1D4">
    <dgm:fillClrLst meth="repeat">
      <a:schemeClr val="accent4">
        <a:tint val="50000"/>
      </a:schemeClr>
    </dgm:fillClrLst>
    <dgm:linClrLst meth="repeat">
      <a:schemeClr val="accent1"/>
    </dgm:linClrLst>
    <dgm:effectClrLst/>
    <dgm:txLinClrLst/>
    <dgm:txFillClrLst meth="repeat">
      <a:schemeClr val="tx1"/>
    </dgm:txFillClrLst>
    <dgm:txEffectClrLst/>
  </dgm:styleLbl>
  <dgm:styleLbl name="fgAcc1">
    <dgm:fillClrLst meth="repeat">
      <a:schemeClr val="lt1">
        <a:alpha val="90000"/>
      </a:schemeClr>
    </dgm:fillClrLst>
    <dgm:linClrLst>
      <a:schemeClr val="accent4"/>
      <a:schemeClr val="accent5"/>
    </dgm:linClrLst>
    <dgm:effectClrLst/>
    <dgm:txLinClrLst/>
    <dgm:txFillClrLst meth="repeat">
      <a:schemeClr val="dk1"/>
    </dgm:txFillClrLst>
    <dgm:txEffectClrLst/>
  </dgm:styleLbl>
  <dgm:styleLbl name="conFgAcc1">
    <dgm:fillClrLst meth="repeat">
      <a:schemeClr val="lt1">
        <a:alpha val="90000"/>
      </a:schemeClr>
    </dgm:fillClrLst>
    <dgm:linClrLst>
      <a:schemeClr val="accent4"/>
      <a:schemeClr val="accent5"/>
    </dgm:linClrLst>
    <dgm:effectClrLst/>
    <dgm:txLinClrLst/>
    <dgm:txFillClrLst meth="repeat">
      <a:schemeClr val="dk1"/>
    </dgm:txFillClrLst>
    <dgm:txEffectClrLst/>
  </dgm:styleLbl>
  <dgm:styleLbl name="alignAcc1">
    <dgm:fillClrLst meth="repeat">
      <a:schemeClr val="lt1">
        <a:alpha val="90000"/>
      </a:schemeClr>
    </dgm:fillClrLst>
    <dgm:linClrLst>
      <a:schemeClr val="accent4"/>
      <a:schemeClr val="accent5"/>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4"/>
    </dgm:linClrLst>
    <dgm:effectClrLst/>
    <dgm:txLinClrLst/>
    <dgm:txFillClrLst meth="repeat">
      <a:schemeClr val="dk1"/>
    </dgm:txFillClrLst>
    <dgm:txEffectClrLst/>
  </dgm:styleLbl>
  <dgm:styleLbl name="bgAcc1">
    <dgm:fillClrLst meth="repeat">
      <a:schemeClr val="lt1">
        <a:alpha val="90000"/>
      </a:schemeClr>
    </dgm:fillClrLst>
    <dgm:linClrLst>
      <a:schemeClr val="accent4"/>
      <a:schemeClr val="accent5"/>
    </dgm:linClrLst>
    <dgm:effectClrLst/>
    <dgm:txLinClrLst/>
    <dgm:txFillClrLst meth="repeat">
      <a:schemeClr val="dk1"/>
    </dgm:txFillClrLst>
    <dgm:txEffectClrLst/>
  </dgm:styleLbl>
  <dgm:styleLbl name="solidFgAcc1">
    <dgm:fillClrLst meth="repeat">
      <a:schemeClr val="lt1"/>
    </dgm:fillClrLst>
    <dgm:linClrLst>
      <a:schemeClr val="accent4"/>
      <a:schemeClr val="accent5"/>
    </dgm:linClrLst>
    <dgm:effectClrLst/>
    <dgm:txLinClrLst/>
    <dgm:txFillClrLst meth="repeat">
      <a:schemeClr val="dk1"/>
    </dgm:txFillClrLst>
    <dgm:txEffectClrLst/>
  </dgm:styleLbl>
  <dgm:styleLbl name="solidAlignAcc1">
    <dgm:fillClrLst meth="repeat">
      <a:schemeClr val="lt1"/>
    </dgm:fillClrLst>
    <dgm:linClrLst>
      <a:schemeClr val="accent4"/>
      <a:schemeClr val="accent5"/>
    </dgm:linClrLst>
    <dgm:effectClrLst/>
    <dgm:txLinClrLst/>
    <dgm:txFillClrLst meth="repeat">
      <a:schemeClr val="dk1"/>
    </dgm:txFillClrLst>
    <dgm:txEffectClrLst/>
  </dgm:styleLbl>
  <dgm:styleLbl name="solidBgAcc1">
    <dgm:fillClrLst meth="repeat">
      <a:schemeClr val="lt1"/>
    </dgm:fillClrLst>
    <dgm:linClrLst>
      <a:schemeClr val="accent4"/>
      <a:schemeClr val="accent5"/>
    </dgm:linClrLst>
    <dgm:effectClrLst/>
    <dgm:txLinClrLst/>
    <dgm:txFillClrLst meth="repeat">
      <a:schemeClr val="dk1"/>
    </dgm:txFillClrLst>
    <dgm:txEffectClrLst/>
  </dgm:styleLbl>
  <dgm:styleLbl name="fgAccFollowNode1">
    <dgm:fillClrLst>
      <a:schemeClr val="accent4">
        <a:tint val="40000"/>
        <a:alpha val="90000"/>
      </a:schemeClr>
      <a:schemeClr val="accent5">
        <a:tint val="40000"/>
        <a:alpha val="90000"/>
      </a:schemeClr>
    </dgm:fillClrLst>
    <dgm:linClrLst>
      <a:schemeClr val="accent4">
        <a:tint val="40000"/>
        <a:alpha val="90000"/>
      </a:schemeClr>
      <a:schemeClr val="accent5">
        <a:tint val="40000"/>
        <a:alpha val="90000"/>
      </a:schemeClr>
    </dgm:linClrLst>
    <dgm:effectClrLst/>
    <dgm:txLinClrLst/>
    <dgm:txFillClrLst meth="repeat">
      <a:schemeClr val="dk1"/>
    </dgm:txFillClrLst>
    <dgm:txEffectClrLst/>
  </dgm:styleLbl>
  <dgm:styleLbl name="alignAccFollowNode1">
    <dgm:fillClrLst>
      <a:schemeClr val="accent4">
        <a:tint val="40000"/>
        <a:alpha val="90000"/>
      </a:schemeClr>
      <a:schemeClr val="accent5">
        <a:tint val="40000"/>
        <a:alpha val="90000"/>
      </a:schemeClr>
    </dgm:fillClrLst>
    <dgm:linClrLst>
      <a:schemeClr val="accent4">
        <a:tint val="40000"/>
        <a:alpha val="90000"/>
      </a:schemeClr>
      <a:schemeClr val="accent5">
        <a:tint val="40000"/>
        <a:alpha val="90000"/>
      </a:schemeClr>
    </dgm:linClrLst>
    <dgm:effectClrLst/>
    <dgm:txLinClrLst/>
    <dgm:txFillClrLst meth="repeat">
      <a:schemeClr val="dk1"/>
    </dgm:txFillClrLst>
    <dgm:txEffectClrLst/>
  </dgm:styleLbl>
  <dgm:styleLbl name="bgAccFollowNode1">
    <dgm:fillClrLst>
      <a:schemeClr val="accent4">
        <a:tint val="40000"/>
        <a:alpha val="90000"/>
      </a:schemeClr>
      <a:schemeClr val="accent5">
        <a:tint val="40000"/>
        <a:alpha val="90000"/>
      </a:schemeClr>
    </dgm:fillClrLst>
    <dgm:linClrLst>
      <a:schemeClr val="accent4">
        <a:tint val="40000"/>
        <a:alpha val="90000"/>
      </a:schemeClr>
      <a:schemeClr val="accent5">
        <a:tint val="40000"/>
        <a:alpha val="90000"/>
      </a:schemeClr>
    </dgm:linClrLst>
    <dgm:effectClrLst/>
    <dgm:txLinClrLst/>
    <dgm:txFillClrLst meth="repeat">
      <a:schemeClr val="dk1"/>
    </dgm:txFillClrLst>
    <dgm:txEffectClrLst/>
  </dgm:styleLbl>
  <dgm:styleLbl name="fgAcc0">
    <dgm:fillClrLst meth="repeat">
      <a:schemeClr val="lt1">
        <a:alpha val="90000"/>
      </a:schemeClr>
    </dgm:fillClrLst>
    <dgm:linClrLst>
      <a:schemeClr val="accent3"/>
    </dgm:linClrLst>
    <dgm:effectClrLst/>
    <dgm:txLinClrLst/>
    <dgm:txFillClrLst meth="repeat">
      <a:schemeClr val="dk1"/>
    </dgm:txFillClrLst>
    <dgm:txEffectClrLst/>
  </dgm:styleLbl>
  <dgm:styleLbl name="fgAcc2">
    <dgm:fillClrLst meth="repeat">
      <a:schemeClr val="lt1">
        <a:alpha val="90000"/>
      </a:schemeClr>
    </dgm:fillClrLst>
    <dgm:linClrLst>
      <a:schemeClr val="accent5"/>
    </dgm:linClrLst>
    <dgm:effectClrLst/>
    <dgm:txLinClrLst/>
    <dgm:txFillClrLst meth="repeat">
      <a:schemeClr val="dk1"/>
    </dgm:txFillClrLst>
    <dgm:txEffectClrLst/>
  </dgm:styleLbl>
  <dgm:styleLbl name="fgAcc3">
    <dgm:fillClrLst meth="repeat">
      <a:schemeClr val="lt1">
        <a:alpha val="90000"/>
      </a:schemeClr>
    </dgm:fillClrLst>
    <dgm:linClrLst>
      <a:schemeClr val="accent6"/>
    </dgm:linClrLst>
    <dgm:effectClrLst/>
    <dgm:txLinClrLst/>
    <dgm:txFillClrLst meth="repeat">
      <a:schemeClr val="dk1"/>
    </dgm:txFillClrLst>
    <dgm:txEffectClrLst/>
  </dgm:styleLbl>
  <dgm:styleLbl name="fgAcc4">
    <dgm:fillClrLst meth="repeat">
      <a:schemeClr val="lt1">
        <a:alpha val="90000"/>
      </a:schemeClr>
    </dgm:fillClrLst>
    <dgm:linClrLst>
      <a:schemeClr val="accent1"/>
    </dgm:linClrLst>
    <dgm:effectClrLst/>
    <dgm:txLinClrLst/>
    <dgm:txFillClrLst meth="repeat">
      <a:schemeClr val="dk1"/>
    </dgm:txFillClrLst>
    <dgm:txEffectClrLst/>
  </dgm:styleLbl>
  <dgm:styleLbl name="bgShp">
    <dgm:fillClrLst meth="repeat">
      <a:schemeClr val="accent4">
        <a:tint val="40000"/>
      </a:schemeClr>
    </dgm:fillClrLst>
    <dgm:linClrLst meth="repeat">
      <a:schemeClr val="dk1"/>
    </dgm:linClrLst>
    <dgm:effectClrLst/>
    <dgm:txLinClrLst/>
    <dgm:txFillClrLst meth="repeat">
      <a:schemeClr val="dk1"/>
    </dgm:txFillClrLst>
    <dgm:txEffectClrLst/>
  </dgm:styleLbl>
  <dgm:styleLbl name="dkBgShp">
    <dgm:fillClrLst meth="repeat">
      <a:schemeClr val="accent4">
        <a:shade val="90000"/>
      </a:schemeClr>
    </dgm:fillClrLst>
    <dgm:linClrLst meth="repeat">
      <a:schemeClr val="dk1"/>
    </dgm:linClrLst>
    <dgm:effectClrLst/>
    <dgm:txLinClrLst/>
    <dgm:txFillClrLst meth="repeat">
      <a:schemeClr val="lt1"/>
    </dgm:txFillClrLst>
    <dgm:txEffectClrLst/>
  </dgm:styleLbl>
  <dgm:styleLbl name="trBgShp">
    <dgm:fillClrLst meth="repeat">
      <a:schemeClr val="accent4">
        <a:tint val="50000"/>
        <a:alpha val="40000"/>
      </a:schemeClr>
    </dgm:fillClrLst>
    <dgm:linClrLst meth="repeat">
      <a:schemeClr val="accent4"/>
    </dgm:linClrLst>
    <dgm:effectClrLst/>
    <dgm:txLinClrLst/>
    <dgm:txFillClrLst meth="repeat">
      <a:schemeClr val="lt1"/>
    </dgm:txFillClrLst>
    <dgm:txEffectClrLst/>
  </dgm:styleLbl>
  <dgm:styleLbl name="fgShp">
    <dgm:fillClrLst meth="repeat">
      <a:schemeClr val="accent4">
        <a:tint val="4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2.xml><?xml version="1.0" encoding="utf-8"?>
<dgm:colorsDef xmlns:dgm="http://schemas.openxmlformats.org/drawingml/2006/diagram" xmlns:a="http://schemas.openxmlformats.org/drawingml/2006/main" uniqueId="urn:microsoft.com/office/officeart/2005/8/colors/colorful1">
  <dgm:title val=""/>
  <dgm:desc val=""/>
  <dgm:catLst>
    <dgm:cat type="colorful" pri="10100"/>
  </dgm:catLst>
  <dgm:styleLbl name="node0">
    <dgm:fillClrLst meth="repeat">
      <a:schemeClr val="accent1"/>
    </dgm:fillClrLst>
    <dgm:linClrLst meth="repeat">
      <a:schemeClr val="lt1"/>
    </dgm:linClrLst>
    <dgm:effectClrLst/>
    <dgm:txLinClrLst/>
    <dgm:txFillClrLst/>
    <dgm:txEffectClrLst/>
  </dgm:styleLbl>
  <dgm:styleLbl name="node1">
    <dgm:fillClrLst meth="repeat">
      <a:schemeClr val="accent2"/>
      <a:schemeClr val="accent3"/>
      <a:schemeClr val="accent4"/>
      <a:schemeClr val="accent5"/>
      <a:schemeClr val="accent6"/>
    </dgm:fillClrLst>
    <dgm:linClrLst meth="repeat">
      <a:schemeClr val="lt1"/>
    </dgm:linClrLst>
    <dgm:effectClrLst/>
    <dgm:txLinClrLst/>
    <dgm:txFillClrLst/>
    <dgm:txEffectClrLst/>
  </dgm:styleLbl>
  <dgm:styleLbl name="alignNode1">
    <dgm:fillClrLst meth="repeat">
      <a:schemeClr val="accent2"/>
      <a:schemeClr val="accent3"/>
      <a:schemeClr val="accent4"/>
      <a:schemeClr val="accent5"/>
      <a:schemeClr val="accent6"/>
    </dgm:fillClrLst>
    <dgm:linClrLst meth="repeat">
      <a:schemeClr val="accent2"/>
      <a:schemeClr val="accent3"/>
      <a:schemeClr val="accent4"/>
      <a:schemeClr val="accent5"/>
      <a:schemeClr val="accent6"/>
    </dgm:linClrLst>
    <dgm:effectClrLst/>
    <dgm:txLinClrLst/>
    <dgm:txFillClrLst/>
    <dgm:txEffectClrLst/>
  </dgm:styleLbl>
  <dgm:styleLbl name="lnNode1">
    <dgm:fillClrLst meth="repeat">
      <a:schemeClr val="accent2"/>
      <a:schemeClr val="accent3"/>
      <a:schemeClr val="accent4"/>
      <a:schemeClr val="accent5"/>
      <a:schemeClr val="accent6"/>
    </dgm:fillClrLst>
    <dgm:linClrLst meth="repeat">
      <a:schemeClr val="lt1"/>
    </dgm:linClrLst>
    <dgm:effectClrLst/>
    <dgm:txLinClrLst/>
    <dgm:txFillClrLst/>
    <dgm:txEffectClrLst/>
  </dgm:styleLbl>
  <dgm:styleLbl name="vennNode1">
    <dgm:fillClrLst meth="repeat">
      <a:schemeClr val="accent2">
        <a:alpha val="50000"/>
      </a:schemeClr>
      <a:schemeClr val="accent3">
        <a:alpha val="50000"/>
      </a:schemeClr>
      <a:schemeClr val="accent4">
        <a:alpha val="50000"/>
      </a:schemeClr>
      <a:schemeClr val="accent5">
        <a:alpha val="50000"/>
      </a:schemeClr>
      <a:schemeClr val="accent6">
        <a:alpha val="50000"/>
      </a:schemeClr>
    </dgm:fillClrLst>
    <dgm:linClrLst meth="repeat">
      <a:schemeClr val="lt1"/>
    </dgm:linClrLst>
    <dgm:effectClrLst/>
    <dgm:txLinClrLst/>
    <dgm:txFillClrLst/>
    <dgm:txEffectClrLst/>
  </dgm:styleLbl>
  <dgm:styleLbl name="node2">
    <dgm:fillClrLst>
      <a:schemeClr val="accent2"/>
    </dgm:fillClrLst>
    <dgm:linClrLst meth="repeat">
      <a:schemeClr val="lt1"/>
    </dgm:linClrLst>
    <dgm:effectClrLst/>
    <dgm:txLinClrLst/>
    <dgm:txFillClrLst/>
    <dgm:txEffectClrLst/>
  </dgm:styleLbl>
  <dgm:styleLbl name="node3">
    <dgm:fillClrLst>
      <a:schemeClr val="accent3"/>
    </dgm:fillClrLst>
    <dgm:linClrLst meth="repeat">
      <a:schemeClr val="lt1"/>
    </dgm:linClrLst>
    <dgm:effectClrLst/>
    <dgm:txLinClrLst/>
    <dgm:txFillClrLst/>
    <dgm:txEffectClrLst/>
  </dgm:styleLbl>
  <dgm:styleLbl name="node4">
    <dgm:fillClrLst>
      <a:schemeClr val="accent4"/>
    </dgm:fillClrLst>
    <dgm:linClrLst meth="repeat">
      <a:schemeClr val="lt1"/>
    </dgm:linClrLst>
    <dgm:effectClrLst/>
    <dgm:txLinClrLst/>
    <dgm:txFillClrLst/>
    <dgm:txEffectClrLst/>
  </dgm:styleLbl>
  <dgm:styleLbl name="fgImgPlace1">
    <dgm:fillClrLst meth="repeat">
      <a:schemeClr val="accent2">
        <a:tint val="50000"/>
      </a:schemeClr>
      <a:schemeClr val="accent3">
        <a:tint val="50000"/>
      </a:schemeClr>
      <a:schemeClr val="accent4">
        <a:tint val="50000"/>
      </a:schemeClr>
      <a:schemeClr val="accent5">
        <a:tint val="50000"/>
      </a:schemeClr>
      <a:schemeClr val="accent6">
        <a:tint val="50000"/>
      </a:schemeClr>
    </dgm:fillClrLst>
    <dgm:linClrLst meth="repeat">
      <a:schemeClr val="lt1"/>
    </dgm:linClrLst>
    <dgm:effectClrLst/>
    <dgm:txLinClrLst/>
    <dgm:txFillClrLst meth="repeat">
      <a:schemeClr val="lt1"/>
    </dgm:txFillClrLst>
    <dgm:txEffectClrLst/>
  </dgm:styleLbl>
  <dgm:styleLbl name="alignImgPlace1">
    <dgm:fillClrLst>
      <a:schemeClr val="accent1">
        <a:tint val="50000"/>
      </a:schemeClr>
      <a:schemeClr val="accent2">
        <a:tint val="20000"/>
      </a:schemeClr>
    </dgm:fillClrLst>
    <dgm:linClrLst meth="repeat">
      <a:schemeClr val="lt1"/>
    </dgm:linClrLst>
    <dgm:effectClrLst/>
    <dgm:txLinClrLst/>
    <dgm:txFillClrLst meth="repeat">
      <a:schemeClr val="lt1"/>
    </dgm:txFillClrLst>
    <dgm:txEffectClrLst/>
  </dgm:styleLbl>
  <dgm:styleLbl name="bgImgPlace1">
    <dgm:fillClrLst>
      <a:schemeClr val="accent1">
        <a:tint val="50000"/>
      </a:schemeClr>
      <a:schemeClr val="accent2">
        <a:tint val="2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2"/>
      <a:schemeClr val="accent3"/>
      <a:schemeClr val="accent4"/>
      <a:schemeClr val="accent5"/>
      <a:schemeClr val="accent6"/>
    </dgm:fillClrLst>
    <dgm:linClrLst meth="cycle">
      <a:schemeClr val="lt1"/>
    </dgm:linClrLst>
    <dgm:effectClrLst/>
    <dgm:txLinClrLst/>
    <dgm:txFillClrLst/>
    <dgm:txEffectClrLst/>
  </dgm:styleLbl>
  <dgm:styleLbl name="fgSibTrans2D1">
    <dgm:fillClrLst meth="repeat">
      <a:schemeClr val="accent2"/>
      <a:schemeClr val="accent3"/>
      <a:schemeClr val="accent4"/>
      <a:schemeClr val="accent5"/>
      <a:schemeClr val="accent6"/>
    </dgm:fillClrLst>
    <dgm:linClrLst meth="cycle">
      <a:schemeClr val="lt1"/>
    </dgm:linClrLst>
    <dgm:effectClrLst/>
    <dgm:txLinClrLst/>
    <dgm:txFillClrLst meth="repeat">
      <a:schemeClr val="lt1"/>
    </dgm:txFillClrLst>
    <dgm:txEffectClrLst/>
  </dgm:styleLbl>
  <dgm:styleLbl name="bgSibTrans2D1">
    <dgm:fillClrLst meth="repeat">
      <a:schemeClr val="accent2"/>
      <a:schemeClr val="accent3"/>
      <a:schemeClr val="accent4"/>
      <a:schemeClr val="accent5"/>
      <a:schemeClr val="accent6"/>
    </dgm:fillClrLst>
    <dgm:linClrLst meth="cycle">
      <a:schemeClr val="lt1"/>
    </dgm:linClrLst>
    <dgm:effectClrLst/>
    <dgm:txLinClrLst/>
    <dgm:txFillClrLst meth="repeat">
      <a:schemeClr val="lt1"/>
    </dgm:txFillClrLst>
    <dgm:txEffectClrLst/>
  </dgm:styleLbl>
  <dgm:styleLbl name="sibTrans1D1">
    <dgm:fillClrLst meth="repeat">
      <a:schemeClr val="accent2"/>
      <a:schemeClr val="accent3"/>
      <a:schemeClr val="accent4"/>
      <a:schemeClr val="accent5"/>
      <a:schemeClr val="accent6"/>
    </dgm:fillClrLst>
    <dgm:linClrLst meth="repeat">
      <a:schemeClr val="accent2"/>
      <a:schemeClr val="accent3"/>
      <a:schemeClr val="accent4"/>
      <a:schemeClr val="accent5"/>
      <a:schemeClr val="accent6"/>
    </dgm:linClrLst>
    <dgm:effectClrLst/>
    <dgm:txLinClrLst/>
    <dgm:txFillClrLst meth="repeat">
      <a:schemeClr val="tx1"/>
    </dgm:txFillClrLst>
    <dgm:txEffectClrLst/>
  </dgm:styleLbl>
  <dgm:styleLbl name="callout">
    <dgm:fillClrLst meth="repeat">
      <a:schemeClr val="accent2"/>
    </dgm:fillClrLst>
    <dgm:linClrLst meth="repeat">
      <a:schemeClr val="accent2">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2"/>
    </dgm:fillClrLst>
    <dgm:linClrLst meth="repeat">
      <a:schemeClr val="lt1"/>
    </dgm:linClrLst>
    <dgm:effectClrLst/>
    <dgm:txLinClrLst/>
    <dgm:txFillClrLst/>
    <dgm:txEffectClrLst/>
  </dgm:styleLbl>
  <dgm:styleLbl name="asst2">
    <dgm:fillClrLst>
      <a:schemeClr val="accent3"/>
    </dgm:fillClrLst>
    <dgm:linClrLst meth="repeat">
      <a:schemeClr val="lt1"/>
    </dgm:linClrLst>
    <dgm:effectClrLst/>
    <dgm:txLinClrLst/>
    <dgm:txFillClrLst/>
    <dgm:txEffectClrLst/>
  </dgm:styleLbl>
  <dgm:styleLbl name="asst3">
    <dgm:fillClrLst>
      <a:schemeClr val="accent4"/>
    </dgm:fillClrLst>
    <dgm:linClrLst meth="repeat">
      <a:schemeClr val="lt1"/>
    </dgm:linClrLst>
    <dgm:effectClrLst/>
    <dgm:txLinClrLst/>
    <dgm:txFillClrLst/>
    <dgm:txEffectClrLst/>
  </dgm:styleLbl>
  <dgm:styleLbl name="asst4">
    <dgm:fillClrLst>
      <a:schemeClr val="accent5"/>
    </dgm:fillClrLst>
    <dgm:linClrLst meth="repeat">
      <a:schemeClr val="lt1"/>
    </dgm:linClrLst>
    <dgm:effectClrLst/>
    <dgm:txLinClrLst/>
    <dgm:txFillClrLst/>
    <dgm:txEffectClrLst/>
  </dgm:styleLbl>
  <dgm:styleLbl name="parChTrans2D1">
    <dgm:fillClrLst meth="repeat">
      <a:schemeClr val="accent2"/>
    </dgm:fillClrLst>
    <dgm:linClrLst meth="repeat">
      <a:schemeClr val="lt1"/>
    </dgm:linClrLst>
    <dgm:effectClrLst/>
    <dgm:txLinClrLst/>
    <dgm:txFillClrLst meth="repeat">
      <a:schemeClr val="lt1"/>
    </dgm:txFillClrLst>
    <dgm:txEffectClrLst/>
  </dgm:styleLbl>
  <dgm:styleLbl name="parChTrans2D2">
    <dgm:fillClrLst meth="repeat">
      <a:schemeClr val="accent3"/>
    </dgm:fillClrLst>
    <dgm:linClrLst meth="repeat">
      <a:schemeClr val="lt1"/>
    </dgm:linClrLst>
    <dgm:effectClrLst/>
    <dgm:txLinClrLst/>
    <dgm:txFillClrLst/>
    <dgm:txEffectClrLst/>
  </dgm:styleLbl>
  <dgm:styleLbl name="parChTrans2D3">
    <dgm:fillClrLst meth="repeat">
      <a:schemeClr val="accent4"/>
    </dgm:fillClrLst>
    <dgm:linClrLst meth="repeat">
      <a:schemeClr val="lt1"/>
    </dgm:linClrLst>
    <dgm:effectClrLst/>
    <dgm:txLinClrLst/>
    <dgm:txFillClrLst/>
    <dgm:txEffectClrLst/>
  </dgm:styleLbl>
  <dgm:styleLbl name="parChTrans2D4">
    <dgm:fillClrLst meth="repeat">
      <a:schemeClr val="accent5"/>
    </dgm:fillClrLst>
    <dgm:linClrLst meth="repeat">
      <a:schemeClr val="lt1"/>
    </dgm:linClrLst>
    <dgm:effectClrLst/>
    <dgm:txLinClrLst/>
    <dgm:txFillClrLst meth="repeat">
      <a:schemeClr val="lt1"/>
    </dgm:txFillClrLst>
    <dgm:txEffectClrLst/>
  </dgm:styleLbl>
  <dgm:styleLbl name="parChTrans1D1">
    <dgm:fillClrLst meth="repeat">
      <a:schemeClr val="accent2"/>
    </dgm:fillClrLst>
    <dgm:linClrLst meth="repeat">
      <a:schemeClr val="accent1"/>
    </dgm:linClrLst>
    <dgm:effectClrLst/>
    <dgm:txLinClrLst/>
    <dgm:txFillClrLst meth="repeat">
      <a:schemeClr val="tx1"/>
    </dgm:txFillClrLst>
    <dgm:txEffectClrLst/>
  </dgm:styleLbl>
  <dgm:styleLbl name="parChTrans1D2">
    <dgm:fillClrLst meth="repeat">
      <a:schemeClr val="accent3">
        <a:tint val="90000"/>
      </a:schemeClr>
    </dgm:fillClrLst>
    <dgm:linClrLst meth="repeat">
      <a:schemeClr val="accent2"/>
    </dgm:linClrLst>
    <dgm:effectClrLst/>
    <dgm:txLinClrLst/>
    <dgm:txFillClrLst meth="repeat">
      <a:schemeClr val="tx1"/>
    </dgm:txFillClrLst>
    <dgm:txEffectClrLst/>
  </dgm:styleLbl>
  <dgm:styleLbl name="parChTrans1D3">
    <dgm:fillClrLst meth="repeat">
      <a:schemeClr val="accent4">
        <a:tint val="70000"/>
      </a:schemeClr>
    </dgm:fillClrLst>
    <dgm:linClrLst meth="repeat">
      <a:schemeClr val="accent3"/>
    </dgm:linClrLst>
    <dgm:effectClrLst/>
    <dgm:txLinClrLst/>
    <dgm:txFillClrLst meth="repeat">
      <a:schemeClr val="tx1"/>
    </dgm:txFillClrLst>
    <dgm:txEffectClrLst/>
  </dgm:styleLbl>
  <dgm:styleLbl name="parChTrans1D4">
    <dgm:fillClrLst meth="repeat">
      <a:schemeClr val="accent5">
        <a:tint val="50000"/>
      </a:schemeClr>
    </dgm:fillClrLst>
    <dgm:linClrLst meth="repeat">
      <a:schemeClr val="accent4"/>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2"/>
      <a:schemeClr val="accent3"/>
      <a:schemeClr val="accent4"/>
      <a:schemeClr val="accent5"/>
      <a:schemeClr val="accent6"/>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2"/>
      <a:schemeClr val="accent3"/>
      <a:schemeClr val="accent4"/>
      <a:schemeClr val="accent5"/>
      <a:schemeClr val="accent6"/>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2"/>
      <a:schemeClr val="accent3"/>
      <a:schemeClr val="accent4"/>
      <a:schemeClr val="accent5"/>
      <a:schemeClr val="accent6"/>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2"/>
      <a:schemeClr val="accent3"/>
      <a:schemeClr val="accent4"/>
      <a:schemeClr val="accent5"/>
      <a:schemeClr val="accent6"/>
    </dgm:linClrLst>
    <dgm:effectClrLst/>
    <dgm:txLinClrLst/>
    <dgm:txFillClrLst meth="repeat">
      <a:schemeClr val="dk1"/>
    </dgm:txFillClrLst>
    <dgm:txEffectClrLst/>
  </dgm:styleLbl>
  <dgm:styleLbl name="solidFgAcc1">
    <dgm:fillClrLst meth="repeat">
      <a:schemeClr val="lt1"/>
    </dgm:fillClrLst>
    <dgm:linClrLst meth="repeat">
      <a:schemeClr val="accent2"/>
      <a:schemeClr val="accent3"/>
      <a:schemeClr val="accent4"/>
      <a:schemeClr val="accent5"/>
      <a:schemeClr val="accent6"/>
    </dgm:linClrLst>
    <dgm:effectClrLst/>
    <dgm:txLinClrLst/>
    <dgm:txFillClrLst meth="repeat">
      <a:schemeClr val="dk1"/>
    </dgm:txFillClrLst>
    <dgm:txEffectClrLst/>
  </dgm:styleLbl>
  <dgm:styleLbl name="solidAlignAcc1">
    <dgm:fillClrLst meth="repeat">
      <a:schemeClr val="lt1"/>
    </dgm:fillClrLst>
    <dgm:linClrLst meth="repeat">
      <a:schemeClr val="accent2"/>
      <a:schemeClr val="accent3"/>
      <a:schemeClr val="accent4"/>
      <a:schemeClr val="accent5"/>
      <a:schemeClr val="accent6"/>
    </dgm:linClrLst>
    <dgm:effectClrLst/>
    <dgm:txLinClrLst/>
    <dgm:txFillClrLst meth="repeat">
      <a:schemeClr val="dk1"/>
    </dgm:txFillClrLst>
    <dgm:txEffectClrLst/>
  </dgm:styleLbl>
  <dgm:styleLbl name="solidBgAcc1">
    <dgm:fillClrLst meth="repeat">
      <a:schemeClr val="lt1"/>
    </dgm:fillClrLst>
    <dgm:linClrLst meth="repeat">
      <a:schemeClr val="accent2"/>
      <a:schemeClr val="accent3"/>
      <a:schemeClr val="accent4"/>
      <a:schemeClr val="accent5"/>
      <a:schemeClr val="accent6"/>
    </dgm:linClrLst>
    <dgm:effectClrLst/>
    <dgm:txLinClrLst/>
    <dgm:txFillClrLst meth="repeat">
      <a:schemeClr val="dk1"/>
    </dgm:txFillClrLst>
    <dgm:txEffectClrLst/>
  </dgm:styleLbl>
  <dgm:styleLbl name="fgAccFollowNode1">
    <dgm:fillClrLst meth="repeat">
      <a:schemeClr val="accent2">
        <a:tint val="40000"/>
        <a:alpha val="90000"/>
      </a:schemeClr>
      <a:schemeClr val="accent3">
        <a:tint val="40000"/>
        <a:alpha val="90000"/>
      </a:schemeClr>
      <a:schemeClr val="accent4">
        <a:tint val="40000"/>
        <a:alpha val="90000"/>
      </a:schemeClr>
      <a:schemeClr val="accent5">
        <a:tint val="40000"/>
        <a:alpha val="90000"/>
      </a:schemeClr>
      <a:schemeClr val="accent6">
        <a:tint val="40000"/>
        <a:alpha val="90000"/>
      </a:schemeClr>
    </dgm:fillClrLst>
    <dgm:linClrLst meth="repeat">
      <a:schemeClr val="accent2">
        <a:tint val="40000"/>
        <a:alpha val="90000"/>
      </a:schemeClr>
      <a:schemeClr val="accent3">
        <a:tint val="40000"/>
        <a:alpha val="90000"/>
      </a:schemeClr>
      <a:schemeClr val="accent4">
        <a:tint val="40000"/>
        <a:alpha val="90000"/>
      </a:schemeClr>
      <a:schemeClr val="accent5">
        <a:tint val="40000"/>
        <a:alpha val="90000"/>
      </a:schemeClr>
      <a:schemeClr val="accent6">
        <a:tint val="40000"/>
        <a:alpha val="90000"/>
      </a:schemeClr>
    </dgm:linClrLst>
    <dgm:effectClrLst/>
    <dgm:txLinClrLst/>
    <dgm:txFillClrLst meth="repeat">
      <a:schemeClr val="dk1"/>
    </dgm:txFillClrLst>
    <dgm:txEffectClrLst/>
  </dgm:styleLbl>
  <dgm:styleLbl name="alignAccFollowNode1">
    <dgm:fillClrLst meth="repeat">
      <a:schemeClr val="accent2">
        <a:tint val="40000"/>
        <a:alpha val="90000"/>
      </a:schemeClr>
      <a:schemeClr val="accent3">
        <a:tint val="40000"/>
        <a:alpha val="90000"/>
      </a:schemeClr>
      <a:schemeClr val="accent4">
        <a:tint val="40000"/>
        <a:alpha val="90000"/>
      </a:schemeClr>
      <a:schemeClr val="accent5">
        <a:tint val="40000"/>
        <a:alpha val="90000"/>
      </a:schemeClr>
      <a:schemeClr val="accent6">
        <a:tint val="40000"/>
        <a:alpha val="90000"/>
      </a:schemeClr>
    </dgm:fillClrLst>
    <dgm:linClrLst meth="repeat">
      <a:schemeClr val="accent2">
        <a:tint val="40000"/>
        <a:alpha val="90000"/>
      </a:schemeClr>
      <a:schemeClr val="accent3">
        <a:tint val="40000"/>
        <a:alpha val="90000"/>
      </a:schemeClr>
      <a:schemeClr val="accent4">
        <a:tint val="40000"/>
        <a:alpha val="90000"/>
      </a:schemeClr>
      <a:schemeClr val="accent5">
        <a:tint val="40000"/>
        <a:alpha val="90000"/>
      </a:schemeClr>
      <a:schemeClr val="accent6">
        <a:tint val="40000"/>
        <a:alpha val="90000"/>
      </a:schemeClr>
    </dgm:linClrLst>
    <dgm:effectClrLst/>
    <dgm:txLinClrLst/>
    <dgm:txFillClrLst meth="repeat">
      <a:schemeClr val="dk1"/>
    </dgm:txFillClrLst>
    <dgm:txEffectClrLst/>
  </dgm:styleLbl>
  <dgm:styleLbl name="bgAccFollowNode1">
    <dgm:fillClrLst meth="repeat">
      <a:schemeClr val="accent2">
        <a:tint val="40000"/>
        <a:alpha val="90000"/>
      </a:schemeClr>
      <a:schemeClr val="accent3">
        <a:tint val="40000"/>
        <a:alpha val="90000"/>
      </a:schemeClr>
      <a:schemeClr val="accent4">
        <a:tint val="40000"/>
        <a:alpha val="90000"/>
      </a:schemeClr>
      <a:schemeClr val="accent5">
        <a:tint val="40000"/>
        <a:alpha val="90000"/>
      </a:schemeClr>
      <a:schemeClr val="accent6">
        <a:tint val="40000"/>
        <a:alpha val="90000"/>
      </a:schemeClr>
    </dgm:fillClrLst>
    <dgm:linClrLst meth="repeat">
      <a:schemeClr val="accent2">
        <a:tint val="40000"/>
        <a:alpha val="90000"/>
      </a:schemeClr>
      <a:schemeClr val="accent3">
        <a:tint val="40000"/>
        <a:alpha val="90000"/>
      </a:schemeClr>
      <a:schemeClr val="accent4">
        <a:tint val="40000"/>
        <a:alpha val="90000"/>
      </a:schemeClr>
      <a:schemeClr val="accent5">
        <a:tint val="40000"/>
        <a:alpha val="90000"/>
      </a:schemeClr>
      <a:schemeClr val="accent6">
        <a:tint val="40000"/>
        <a:alpha val="90000"/>
      </a:schemeClr>
    </dgm:linClrLst>
    <dgm:effectClrLst/>
    <dgm:txLinClrLst/>
    <dgm:txFillClrLst meth="repeat">
      <a:schemeClr val="dk1"/>
    </dgm:txFillClrLst>
    <dgm:txEffectClrLst/>
  </dgm:styleLbl>
  <dgm:styleLbl name="fgAcc0">
    <dgm:fillClrLst meth="repeat">
      <a:schemeClr val="lt1">
        <a:alpha val="90000"/>
      </a:schemeClr>
    </dgm:fillClrLst>
    <dgm:linClrLst>
      <a:schemeClr val="accent1"/>
    </dgm:linClrLst>
    <dgm:effectClrLst/>
    <dgm:txLinClrLst/>
    <dgm:txFillClrLst meth="repeat">
      <a:schemeClr val="dk1"/>
    </dgm:txFillClrLst>
    <dgm:txEffectClrLst/>
  </dgm:styleLbl>
  <dgm:styleLbl name="fgAcc2">
    <dgm:fillClrLst meth="repeat">
      <a:schemeClr val="lt1">
        <a:alpha val="90000"/>
      </a:schemeClr>
    </dgm:fillClrLst>
    <dgm:linClrLst>
      <a:schemeClr val="accent2"/>
    </dgm:linClrLst>
    <dgm:effectClrLst/>
    <dgm:txLinClrLst/>
    <dgm:txFillClrLst meth="repeat">
      <a:schemeClr val="dk1"/>
    </dgm:txFillClrLst>
    <dgm:txEffectClrLst/>
  </dgm:styleLbl>
  <dgm:styleLbl name="fgAcc3">
    <dgm:fillClrLst meth="repeat">
      <a:schemeClr val="lt1">
        <a:alpha val="90000"/>
      </a:schemeClr>
    </dgm:fillClrLst>
    <dgm:linClrLst>
      <a:schemeClr val="accent3"/>
    </dgm:linClrLst>
    <dgm:effectClrLst/>
    <dgm:txLinClrLst/>
    <dgm:txFillClrLst meth="repeat">
      <a:schemeClr val="dk1"/>
    </dgm:txFillClrLst>
    <dgm:txEffectClrLst/>
  </dgm:styleLbl>
  <dgm:styleLbl name="fgAcc4">
    <dgm:fillClrLst meth="repeat">
      <a:schemeClr val="lt1">
        <a:alpha val="90000"/>
      </a:schemeClr>
    </dgm:fillClrLst>
    <dgm:linClrLst>
      <a:schemeClr val="accent4"/>
    </dgm:linClrLst>
    <dgm:effectClrLst/>
    <dgm:txLinClrLst/>
    <dgm:txFillClrLst meth="repeat">
      <a:schemeClr val="dk1"/>
    </dgm:txFillClrLst>
    <dgm:txEffectClrLst/>
  </dgm:styleLbl>
  <dgm:styleLbl name="bgShp">
    <dgm:fillClrLst meth="repeat">
      <a:schemeClr val="accent2">
        <a:tint val="40000"/>
      </a:schemeClr>
    </dgm:fillClrLst>
    <dgm:linClrLst meth="repeat">
      <a:schemeClr val="dk1"/>
    </dgm:linClrLst>
    <dgm:effectClrLst/>
    <dgm:txLinClrLst/>
    <dgm:txFillClrLst meth="repeat">
      <a:schemeClr val="dk1"/>
    </dgm:txFillClrLst>
    <dgm:txEffectClrLst/>
  </dgm:styleLbl>
  <dgm:styleLbl name="dkBgShp">
    <dgm:fillClrLst meth="repeat">
      <a:schemeClr val="accent2">
        <a:shade val="90000"/>
      </a:schemeClr>
    </dgm:fillClrLst>
    <dgm:linClrLst meth="repeat">
      <a:schemeClr val="dk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2"/>
    </dgm:linClrLst>
    <dgm:effectClrLst/>
    <dgm:txLinClrLst/>
    <dgm:txFillClrLst meth="repeat">
      <a:schemeClr val="lt1"/>
    </dgm:txFillClrLst>
    <dgm:txEffectClrLst/>
  </dgm:styleLbl>
  <dgm:styleLbl name="fgShp">
    <dgm:fillClrLst meth="repeat">
      <a:schemeClr val="accent2">
        <a:tint val="4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3.xml><?xml version="1.0" encoding="utf-8"?>
<dgm:colorsDef xmlns:dgm="http://schemas.openxmlformats.org/drawingml/2006/diagram" xmlns:a="http://schemas.openxmlformats.org/drawingml/2006/main" uniqueId="urn:microsoft.com/office/officeart/2005/8/colors/colorful4">
  <dgm:title val=""/>
  <dgm:desc val=""/>
  <dgm:catLst>
    <dgm:cat type="colorful" pri="10400"/>
  </dgm:catLst>
  <dgm:styleLbl name="node0">
    <dgm:fillClrLst meth="repeat">
      <a:schemeClr val="accent3"/>
    </dgm:fillClrLst>
    <dgm:linClrLst meth="repeat">
      <a:schemeClr val="lt1"/>
    </dgm:linClrLst>
    <dgm:effectClrLst/>
    <dgm:txLinClrLst/>
    <dgm:txFillClrLst/>
    <dgm:txEffectClrLst/>
  </dgm:styleLbl>
  <dgm:styleLbl name="node1">
    <dgm:fillClrLst>
      <a:schemeClr val="accent4"/>
      <a:schemeClr val="accent5"/>
    </dgm:fillClrLst>
    <dgm:linClrLst meth="repeat">
      <a:schemeClr val="lt1"/>
    </dgm:linClrLst>
    <dgm:effectClrLst/>
    <dgm:txLinClrLst/>
    <dgm:txFillClrLst/>
    <dgm:txEffectClrLst/>
  </dgm:styleLbl>
  <dgm:styleLbl name="alignNode1">
    <dgm:fillClrLst>
      <a:schemeClr val="accent4"/>
      <a:schemeClr val="accent5"/>
    </dgm:fillClrLst>
    <dgm:linClrLst>
      <a:schemeClr val="accent4"/>
      <a:schemeClr val="accent5"/>
    </dgm:linClrLst>
    <dgm:effectClrLst/>
    <dgm:txLinClrLst/>
    <dgm:txFillClrLst/>
    <dgm:txEffectClrLst/>
  </dgm:styleLbl>
  <dgm:styleLbl name="lnNode1">
    <dgm:fillClrLst>
      <a:schemeClr val="accent4"/>
      <a:schemeClr val="accent5"/>
    </dgm:fillClrLst>
    <dgm:linClrLst meth="repeat">
      <a:schemeClr val="lt1"/>
    </dgm:linClrLst>
    <dgm:effectClrLst/>
    <dgm:txLinClrLst/>
    <dgm:txFillClrLst/>
    <dgm:txEffectClrLst/>
  </dgm:styleLbl>
  <dgm:styleLbl name="vennNode1">
    <dgm:fillClrLst>
      <a:schemeClr val="accent4">
        <a:alpha val="50000"/>
      </a:schemeClr>
      <a:schemeClr val="accent5">
        <a:alpha val="50000"/>
      </a:schemeClr>
    </dgm:fillClrLst>
    <dgm:linClrLst meth="repeat">
      <a:schemeClr val="lt1"/>
    </dgm:linClrLst>
    <dgm:effectClrLst/>
    <dgm:txLinClrLst/>
    <dgm:txFillClrLst/>
    <dgm:txEffectClrLst/>
  </dgm:styleLbl>
  <dgm:styleLbl name="node2">
    <dgm:fillClrLst>
      <a:schemeClr val="accent5"/>
    </dgm:fillClrLst>
    <dgm:linClrLst meth="repeat">
      <a:schemeClr val="lt1"/>
    </dgm:linClrLst>
    <dgm:effectClrLst/>
    <dgm:txLinClrLst/>
    <dgm:txFillClrLst/>
    <dgm:txEffectClrLst/>
  </dgm:styleLbl>
  <dgm:styleLbl name="node3">
    <dgm:fillClrLst>
      <a:schemeClr val="accent6"/>
    </dgm:fillClrLst>
    <dgm:linClrLst meth="repeat">
      <a:schemeClr val="lt1"/>
    </dgm:linClrLst>
    <dgm:effectClrLst/>
    <dgm:txLinClrLst/>
    <dgm:txFillClrLst/>
    <dgm:txEffectClrLst/>
  </dgm:styleLbl>
  <dgm:styleLbl name="node4">
    <dgm:fillClrLst>
      <a:schemeClr val="accent1"/>
    </dgm:fillClrLst>
    <dgm:linClrLst meth="repeat">
      <a:schemeClr val="lt1"/>
    </dgm:linClrLst>
    <dgm:effectClrLst/>
    <dgm:txLinClrLst/>
    <dgm:txFillClrLst/>
    <dgm:txEffectClrLst/>
  </dgm:styleLbl>
  <dgm:styleLbl name="fgImgPlace1">
    <dgm:fillClrLst>
      <a:schemeClr val="accent4">
        <a:tint val="50000"/>
      </a:schemeClr>
      <a:schemeClr val="accent5">
        <a:tint val="50000"/>
      </a:schemeClr>
    </dgm:fillClrLst>
    <dgm:linClrLst meth="repeat">
      <a:schemeClr val="lt1"/>
    </dgm:linClrLst>
    <dgm:effectClrLst/>
    <dgm:txLinClrLst/>
    <dgm:txFillClrLst meth="repeat">
      <a:schemeClr val="lt1"/>
    </dgm:txFillClrLst>
    <dgm:txEffectClrLst/>
  </dgm:styleLbl>
  <dgm:styleLbl name="alignImgPlace1">
    <dgm:fillClrLst>
      <a:schemeClr val="accent4">
        <a:tint val="50000"/>
      </a:schemeClr>
      <a:schemeClr val="accent5">
        <a:tint val="20000"/>
      </a:schemeClr>
    </dgm:fillClrLst>
    <dgm:linClrLst meth="repeat">
      <a:schemeClr val="lt1"/>
    </dgm:linClrLst>
    <dgm:effectClrLst/>
    <dgm:txLinClrLst/>
    <dgm:txFillClrLst meth="repeat">
      <a:schemeClr val="lt1"/>
    </dgm:txFillClrLst>
    <dgm:txEffectClrLst/>
  </dgm:styleLbl>
  <dgm:styleLbl name="bgImgPlace1">
    <dgm:fillClrLst>
      <a:schemeClr val="accent4">
        <a:tint val="50000"/>
      </a:schemeClr>
      <a:schemeClr val="accent5">
        <a:tint val="20000"/>
      </a:schemeClr>
    </dgm:fillClrLst>
    <dgm:linClrLst meth="repeat">
      <a:schemeClr val="lt1"/>
    </dgm:linClrLst>
    <dgm:effectClrLst/>
    <dgm:txLinClrLst/>
    <dgm:txFillClrLst meth="repeat">
      <a:schemeClr val="lt1"/>
    </dgm:txFillClrLst>
    <dgm:txEffectClrLst/>
  </dgm:styleLbl>
  <dgm:styleLbl name="sibTrans2D1">
    <dgm:fillClrLst>
      <a:schemeClr val="accent4"/>
      <a:schemeClr val="accent5"/>
    </dgm:fillClrLst>
    <dgm:linClrLst meth="repeat">
      <a:schemeClr val="lt1"/>
    </dgm:linClrLst>
    <dgm:effectClrLst/>
    <dgm:txLinClrLst/>
    <dgm:txFillClrLst/>
    <dgm:txEffectClrLst/>
  </dgm:styleLbl>
  <dgm:styleLbl name="fgSibTrans2D1">
    <dgm:fillClrLst>
      <a:schemeClr val="accent4"/>
      <a:schemeClr val="accent5"/>
    </dgm:fillClrLst>
    <dgm:linClrLst meth="repeat">
      <a:schemeClr val="lt1"/>
    </dgm:linClrLst>
    <dgm:effectClrLst/>
    <dgm:txLinClrLst/>
    <dgm:txFillClrLst meth="repeat">
      <a:schemeClr val="lt1"/>
    </dgm:txFillClrLst>
    <dgm:txEffectClrLst/>
  </dgm:styleLbl>
  <dgm:styleLbl name="bgSibTrans2D1">
    <dgm:fillClrLst>
      <a:schemeClr val="accent4"/>
      <a:schemeClr val="accent5"/>
    </dgm:fillClrLst>
    <dgm:linClrLst meth="repeat">
      <a:schemeClr val="lt1"/>
    </dgm:linClrLst>
    <dgm:effectClrLst/>
    <dgm:txLinClrLst/>
    <dgm:txFillClrLst meth="repeat">
      <a:schemeClr val="lt1"/>
    </dgm:txFillClrLst>
    <dgm:txEffectClrLst/>
  </dgm:styleLbl>
  <dgm:styleLbl name="sibTrans1D1">
    <dgm:fillClrLst/>
    <dgm:linClrLst>
      <a:schemeClr val="accent4"/>
      <a:schemeClr val="accent5"/>
    </dgm:linClrLst>
    <dgm:effectClrLst/>
    <dgm:txLinClrLst/>
    <dgm:txFillClrLst meth="repeat">
      <a:schemeClr val="tx1"/>
    </dgm:txFillClrLst>
    <dgm:txEffectClrLst/>
  </dgm:styleLbl>
  <dgm:styleLbl name="callout">
    <dgm:fillClrLst meth="repeat">
      <a:schemeClr val="accent4"/>
    </dgm:fillClrLst>
    <dgm:linClrLst meth="repeat">
      <a:schemeClr val="accent4">
        <a:tint val="50000"/>
      </a:schemeClr>
    </dgm:linClrLst>
    <dgm:effectClrLst/>
    <dgm:txLinClrLst/>
    <dgm:txFillClrLst meth="repeat">
      <a:schemeClr val="tx1"/>
    </dgm:txFillClrLst>
    <dgm:txEffectClrLst/>
  </dgm:styleLbl>
  <dgm:styleLbl name="asst0">
    <dgm:fillClrLst meth="repeat">
      <a:schemeClr val="accent4"/>
    </dgm:fillClrLst>
    <dgm:linClrLst meth="repeat">
      <a:schemeClr val="lt1">
        <a:shade val="80000"/>
      </a:schemeClr>
    </dgm:linClrLst>
    <dgm:effectClrLst/>
    <dgm:txLinClrLst/>
    <dgm:txFillClrLst/>
    <dgm:txEffectClrLst/>
  </dgm:styleLbl>
  <dgm:styleLbl name="asst1">
    <dgm:fillClrLst meth="repeat">
      <a:schemeClr val="accent5"/>
    </dgm:fillClrLst>
    <dgm:linClrLst meth="repeat">
      <a:schemeClr val="lt1">
        <a:shade val="80000"/>
      </a:schemeClr>
    </dgm:linClrLst>
    <dgm:effectClrLst/>
    <dgm:txLinClrLst/>
    <dgm:txFillClrLst/>
    <dgm:txEffectClrLst/>
  </dgm:styleLbl>
  <dgm:styleLbl name="asst2">
    <dgm:fillClrLst>
      <a:schemeClr val="accent6"/>
    </dgm:fillClrLst>
    <dgm:linClrLst meth="repeat">
      <a:schemeClr val="lt1"/>
    </dgm:linClrLst>
    <dgm:effectClrLst/>
    <dgm:txLinClrLst/>
    <dgm:txFillClrLst/>
    <dgm:txEffectClrLst/>
  </dgm:styleLbl>
  <dgm:styleLbl name="asst3">
    <dgm:fillClrLst>
      <a:schemeClr val="accent1"/>
    </dgm:fillClrLst>
    <dgm:linClrLst meth="repeat">
      <a:schemeClr val="lt1"/>
    </dgm:linClrLst>
    <dgm:effectClrLst/>
    <dgm:txLinClrLst/>
    <dgm:txFillClrLst/>
    <dgm:txEffectClrLst/>
  </dgm:styleLbl>
  <dgm:styleLbl name="asst4">
    <dgm:fillClrLst>
      <a:schemeClr val="accent2"/>
    </dgm:fillClrLst>
    <dgm:linClrLst meth="repeat">
      <a:schemeClr val="lt1"/>
    </dgm:linClrLst>
    <dgm:effectClrLst/>
    <dgm:txLinClrLst/>
    <dgm:txFillClrLst/>
    <dgm:txEffectClrLst/>
  </dgm:styleLbl>
  <dgm:styleLbl name="parChTrans2D1">
    <dgm:fillClrLst meth="repeat">
      <a:schemeClr val="accent4"/>
    </dgm:fillClrLst>
    <dgm:linClrLst meth="repeat">
      <a:schemeClr val="lt1"/>
    </dgm:linClrLst>
    <dgm:effectClrLst/>
    <dgm:txLinClrLst/>
    <dgm:txFillClrLst meth="repeat">
      <a:schemeClr val="lt1"/>
    </dgm:txFillClrLst>
    <dgm:txEffectClrLst/>
  </dgm:styleLbl>
  <dgm:styleLbl name="parChTrans2D2">
    <dgm:fillClrLst meth="repeat">
      <a:schemeClr val="accent5"/>
    </dgm:fillClrLst>
    <dgm:linClrLst meth="repeat">
      <a:schemeClr val="lt1"/>
    </dgm:linClrLst>
    <dgm:effectClrLst/>
    <dgm:txLinClrLst/>
    <dgm:txFillClrLst/>
    <dgm:txEffectClrLst/>
  </dgm:styleLbl>
  <dgm:styleLbl name="parChTrans2D3">
    <dgm:fillClrLst meth="repeat">
      <a:schemeClr val="accent5"/>
    </dgm:fillClrLst>
    <dgm:linClrLst meth="repeat">
      <a:schemeClr val="lt1"/>
    </dgm:linClrLst>
    <dgm:effectClrLst/>
    <dgm:txLinClrLst/>
    <dgm:txFillClrLst/>
    <dgm:txEffectClrLst/>
  </dgm:styleLbl>
  <dgm:styleLbl name="parChTrans2D4">
    <dgm:fillClrLst meth="repeat">
      <a:schemeClr val="accent6"/>
    </dgm:fillClrLst>
    <dgm:linClrLst meth="repeat">
      <a:schemeClr val="lt1"/>
    </dgm:linClrLst>
    <dgm:effectClrLst/>
    <dgm:txLinClrLst/>
    <dgm:txFillClrLst meth="repeat">
      <a:schemeClr val="lt1"/>
    </dgm:txFillClrLst>
    <dgm:txEffectClrLst/>
  </dgm:styleLbl>
  <dgm:styleLbl name="parChTrans1D1">
    <dgm:fillClrLst meth="repeat">
      <a:schemeClr val="accent4"/>
    </dgm:fillClrLst>
    <dgm:linClrLst meth="repeat">
      <a:schemeClr val="accent4"/>
    </dgm:linClrLst>
    <dgm:effectClrLst/>
    <dgm:txLinClrLst/>
    <dgm:txFillClrLst meth="repeat">
      <a:schemeClr val="tx1"/>
    </dgm:txFillClrLst>
    <dgm:txEffectClrLst/>
  </dgm:styleLbl>
  <dgm:styleLbl name="parChTrans1D2">
    <dgm:fillClrLst meth="repeat">
      <a:schemeClr val="accent4">
        <a:tint val="90000"/>
      </a:schemeClr>
    </dgm:fillClrLst>
    <dgm:linClrLst meth="repeat">
      <a:schemeClr val="accent5"/>
    </dgm:linClrLst>
    <dgm:effectClrLst/>
    <dgm:txLinClrLst/>
    <dgm:txFillClrLst meth="repeat">
      <a:schemeClr val="tx1"/>
    </dgm:txFillClrLst>
    <dgm:txEffectClrLst/>
  </dgm:styleLbl>
  <dgm:styleLbl name="parChTrans1D3">
    <dgm:fillClrLst meth="repeat">
      <a:schemeClr val="accent4">
        <a:tint val="70000"/>
      </a:schemeClr>
    </dgm:fillClrLst>
    <dgm:linClrLst meth="repeat">
      <a:schemeClr val="accent6"/>
    </dgm:linClrLst>
    <dgm:effectClrLst/>
    <dgm:txLinClrLst/>
    <dgm:txFillClrLst meth="repeat">
      <a:schemeClr val="tx1"/>
    </dgm:txFillClrLst>
    <dgm:txEffectClrLst/>
  </dgm:styleLbl>
  <dgm:styleLbl name="parChTrans1D4">
    <dgm:fillClrLst meth="repeat">
      <a:schemeClr val="accent4">
        <a:tint val="50000"/>
      </a:schemeClr>
    </dgm:fillClrLst>
    <dgm:linClrLst meth="repeat">
      <a:schemeClr val="accent1"/>
    </dgm:linClrLst>
    <dgm:effectClrLst/>
    <dgm:txLinClrLst/>
    <dgm:txFillClrLst meth="repeat">
      <a:schemeClr val="tx1"/>
    </dgm:txFillClrLst>
    <dgm:txEffectClrLst/>
  </dgm:styleLbl>
  <dgm:styleLbl name="fgAcc1">
    <dgm:fillClrLst meth="repeat">
      <a:schemeClr val="lt1">
        <a:alpha val="90000"/>
      </a:schemeClr>
    </dgm:fillClrLst>
    <dgm:linClrLst>
      <a:schemeClr val="accent4"/>
      <a:schemeClr val="accent5"/>
    </dgm:linClrLst>
    <dgm:effectClrLst/>
    <dgm:txLinClrLst/>
    <dgm:txFillClrLst meth="repeat">
      <a:schemeClr val="dk1"/>
    </dgm:txFillClrLst>
    <dgm:txEffectClrLst/>
  </dgm:styleLbl>
  <dgm:styleLbl name="conFgAcc1">
    <dgm:fillClrLst meth="repeat">
      <a:schemeClr val="lt1">
        <a:alpha val="90000"/>
      </a:schemeClr>
    </dgm:fillClrLst>
    <dgm:linClrLst>
      <a:schemeClr val="accent4"/>
      <a:schemeClr val="accent5"/>
    </dgm:linClrLst>
    <dgm:effectClrLst/>
    <dgm:txLinClrLst/>
    <dgm:txFillClrLst meth="repeat">
      <a:schemeClr val="dk1"/>
    </dgm:txFillClrLst>
    <dgm:txEffectClrLst/>
  </dgm:styleLbl>
  <dgm:styleLbl name="alignAcc1">
    <dgm:fillClrLst meth="repeat">
      <a:schemeClr val="lt1">
        <a:alpha val="90000"/>
      </a:schemeClr>
    </dgm:fillClrLst>
    <dgm:linClrLst>
      <a:schemeClr val="accent4"/>
      <a:schemeClr val="accent5"/>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4"/>
    </dgm:linClrLst>
    <dgm:effectClrLst/>
    <dgm:txLinClrLst/>
    <dgm:txFillClrLst meth="repeat">
      <a:schemeClr val="dk1"/>
    </dgm:txFillClrLst>
    <dgm:txEffectClrLst/>
  </dgm:styleLbl>
  <dgm:styleLbl name="bgAcc1">
    <dgm:fillClrLst meth="repeat">
      <a:schemeClr val="lt1">
        <a:alpha val="90000"/>
      </a:schemeClr>
    </dgm:fillClrLst>
    <dgm:linClrLst>
      <a:schemeClr val="accent4"/>
      <a:schemeClr val="accent5"/>
    </dgm:linClrLst>
    <dgm:effectClrLst/>
    <dgm:txLinClrLst/>
    <dgm:txFillClrLst meth="repeat">
      <a:schemeClr val="dk1"/>
    </dgm:txFillClrLst>
    <dgm:txEffectClrLst/>
  </dgm:styleLbl>
  <dgm:styleLbl name="solidFgAcc1">
    <dgm:fillClrLst meth="repeat">
      <a:schemeClr val="lt1"/>
    </dgm:fillClrLst>
    <dgm:linClrLst>
      <a:schemeClr val="accent4"/>
      <a:schemeClr val="accent5"/>
    </dgm:linClrLst>
    <dgm:effectClrLst/>
    <dgm:txLinClrLst/>
    <dgm:txFillClrLst meth="repeat">
      <a:schemeClr val="dk1"/>
    </dgm:txFillClrLst>
    <dgm:txEffectClrLst/>
  </dgm:styleLbl>
  <dgm:styleLbl name="solidAlignAcc1">
    <dgm:fillClrLst meth="repeat">
      <a:schemeClr val="lt1"/>
    </dgm:fillClrLst>
    <dgm:linClrLst>
      <a:schemeClr val="accent4"/>
      <a:schemeClr val="accent5"/>
    </dgm:linClrLst>
    <dgm:effectClrLst/>
    <dgm:txLinClrLst/>
    <dgm:txFillClrLst meth="repeat">
      <a:schemeClr val="dk1"/>
    </dgm:txFillClrLst>
    <dgm:txEffectClrLst/>
  </dgm:styleLbl>
  <dgm:styleLbl name="solidBgAcc1">
    <dgm:fillClrLst meth="repeat">
      <a:schemeClr val="lt1"/>
    </dgm:fillClrLst>
    <dgm:linClrLst>
      <a:schemeClr val="accent4"/>
      <a:schemeClr val="accent5"/>
    </dgm:linClrLst>
    <dgm:effectClrLst/>
    <dgm:txLinClrLst/>
    <dgm:txFillClrLst meth="repeat">
      <a:schemeClr val="dk1"/>
    </dgm:txFillClrLst>
    <dgm:txEffectClrLst/>
  </dgm:styleLbl>
  <dgm:styleLbl name="fgAccFollowNode1">
    <dgm:fillClrLst>
      <a:schemeClr val="accent4">
        <a:tint val="40000"/>
        <a:alpha val="90000"/>
      </a:schemeClr>
      <a:schemeClr val="accent5">
        <a:tint val="40000"/>
        <a:alpha val="90000"/>
      </a:schemeClr>
    </dgm:fillClrLst>
    <dgm:linClrLst>
      <a:schemeClr val="accent4">
        <a:tint val="40000"/>
        <a:alpha val="90000"/>
      </a:schemeClr>
      <a:schemeClr val="accent5">
        <a:tint val="40000"/>
        <a:alpha val="90000"/>
      </a:schemeClr>
    </dgm:linClrLst>
    <dgm:effectClrLst/>
    <dgm:txLinClrLst/>
    <dgm:txFillClrLst meth="repeat">
      <a:schemeClr val="dk1"/>
    </dgm:txFillClrLst>
    <dgm:txEffectClrLst/>
  </dgm:styleLbl>
  <dgm:styleLbl name="alignAccFollowNode1">
    <dgm:fillClrLst>
      <a:schemeClr val="accent4">
        <a:tint val="40000"/>
        <a:alpha val="90000"/>
      </a:schemeClr>
      <a:schemeClr val="accent5">
        <a:tint val="40000"/>
        <a:alpha val="90000"/>
      </a:schemeClr>
    </dgm:fillClrLst>
    <dgm:linClrLst>
      <a:schemeClr val="accent4">
        <a:tint val="40000"/>
        <a:alpha val="90000"/>
      </a:schemeClr>
      <a:schemeClr val="accent5">
        <a:tint val="40000"/>
        <a:alpha val="90000"/>
      </a:schemeClr>
    </dgm:linClrLst>
    <dgm:effectClrLst/>
    <dgm:txLinClrLst/>
    <dgm:txFillClrLst meth="repeat">
      <a:schemeClr val="dk1"/>
    </dgm:txFillClrLst>
    <dgm:txEffectClrLst/>
  </dgm:styleLbl>
  <dgm:styleLbl name="bgAccFollowNode1">
    <dgm:fillClrLst>
      <a:schemeClr val="accent4">
        <a:tint val="40000"/>
        <a:alpha val="90000"/>
      </a:schemeClr>
      <a:schemeClr val="accent5">
        <a:tint val="40000"/>
        <a:alpha val="90000"/>
      </a:schemeClr>
    </dgm:fillClrLst>
    <dgm:linClrLst>
      <a:schemeClr val="accent4">
        <a:tint val="40000"/>
        <a:alpha val="90000"/>
      </a:schemeClr>
      <a:schemeClr val="accent5">
        <a:tint val="40000"/>
        <a:alpha val="90000"/>
      </a:schemeClr>
    </dgm:linClrLst>
    <dgm:effectClrLst/>
    <dgm:txLinClrLst/>
    <dgm:txFillClrLst meth="repeat">
      <a:schemeClr val="dk1"/>
    </dgm:txFillClrLst>
    <dgm:txEffectClrLst/>
  </dgm:styleLbl>
  <dgm:styleLbl name="fgAcc0">
    <dgm:fillClrLst meth="repeat">
      <a:schemeClr val="lt1">
        <a:alpha val="90000"/>
      </a:schemeClr>
    </dgm:fillClrLst>
    <dgm:linClrLst>
      <a:schemeClr val="accent3"/>
    </dgm:linClrLst>
    <dgm:effectClrLst/>
    <dgm:txLinClrLst/>
    <dgm:txFillClrLst meth="repeat">
      <a:schemeClr val="dk1"/>
    </dgm:txFillClrLst>
    <dgm:txEffectClrLst/>
  </dgm:styleLbl>
  <dgm:styleLbl name="fgAcc2">
    <dgm:fillClrLst meth="repeat">
      <a:schemeClr val="lt1">
        <a:alpha val="90000"/>
      </a:schemeClr>
    </dgm:fillClrLst>
    <dgm:linClrLst>
      <a:schemeClr val="accent5"/>
    </dgm:linClrLst>
    <dgm:effectClrLst/>
    <dgm:txLinClrLst/>
    <dgm:txFillClrLst meth="repeat">
      <a:schemeClr val="dk1"/>
    </dgm:txFillClrLst>
    <dgm:txEffectClrLst/>
  </dgm:styleLbl>
  <dgm:styleLbl name="fgAcc3">
    <dgm:fillClrLst meth="repeat">
      <a:schemeClr val="lt1">
        <a:alpha val="90000"/>
      </a:schemeClr>
    </dgm:fillClrLst>
    <dgm:linClrLst>
      <a:schemeClr val="accent6"/>
    </dgm:linClrLst>
    <dgm:effectClrLst/>
    <dgm:txLinClrLst/>
    <dgm:txFillClrLst meth="repeat">
      <a:schemeClr val="dk1"/>
    </dgm:txFillClrLst>
    <dgm:txEffectClrLst/>
  </dgm:styleLbl>
  <dgm:styleLbl name="fgAcc4">
    <dgm:fillClrLst meth="repeat">
      <a:schemeClr val="lt1">
        <a:alpha val="90000"/>
      </a:schemeClr>
    </dgm:fillClrLst>
    <dgm:linClrLst>
      <a:schemeClr val="accent1"/>
    </dgm:linClrLst>
    <dgm:effectClrLst/>
    <dgm:txLinClrLst/>
    <dgm:txFillClrLst meth="repeat">
      <a:schemeClr val="dk1"/>
    </dgm:txFillClrLst>
    <dgm:txEffectClrLst/>
  </dgm:styleLbl>
  <dgm:styleLbl name="bgShp">
    <dgm:fillClrLst meth="repeat">
      <a:schemeClr val="accent4">
        <a:tint val="40000"/>
      </a:schemeClr>
    </dgm:fillClrLst>
    <dgm:linClrLst meth="repeat">
      <a:schemeClr val="dk1"/>
    </dgm:linClrLst>
    <dgm:effectClrLst/>
    <dgm:txLinClrLst/>
    <dgm:txFillClrLst meth="repeat">
      <a:schemeClr val="dk1"/>
    </dgm:txFillClrLst>
    <dgm:txEffectClrLst/>
  </dgm:styleLbl>
  <dgm:styleLbl name="dkBgShp">
    <dgm:fillClrLst meth="repeat">
      <a:schemeClr val="accent4">
        <a:shade val="90000"/>
      </a:schemeClr>
    </dgm:fillClrLst>
    <dgm:linClrLst meth="repeat">
      <a:schemeClr val="dk1"/>
    </dgm:linClrLst>
    <dgm:effectClrLst/>
    <dgm:txLinClrLst/>
    <dgm:txFillClrLst meth="repeat">
      <a:schemeClr val="lt1"/>
    </dgm:txFillClrLst>
    <dgm:txEffectClrLst/>
  </dgm:styleLbl>
  <dgm:styleLbl name="trBgShp">
    <dgm:fillClrLst meth="repeat">
      <a:schemeClr val="accent4">
        <a:tint val="50000"/>
        <a:alpha val="40000"/>
      </a:schemeClr>
    </dgm:fillClrLst>
    <dgm:linClrLst meth="repeat">
      <a:schemeClr val="accent4"/>
    </dgm:linClrLst>
    <dgm:effectClrLst/>
    <dgm:txLinClrLst/>
    <dgm:txFillClrLst meth="repeat">
      <a:schemeClr val="lt1"/>
    </dgm:txFillClrLst>
    <dgm:txEffectClrLst/>
  </dgm:styleLbl>
  <dgm:styleLbl name="fgShp">
    <dgm:fillClrLst meth="repeat">
      <a:schemeClr val="accent4">
        <a:tint val="4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51CD9267-CD74-466A-BDBD-E64273DFB0CC}" type="doc">
      <dgm:prSet loTypeId="urn:microsoft.com/office/officeart/2005/8/layout/process5" loCatId="process" qsTypeId="urn:microsoft.com/office/officeart/2005/8/quickstyle/simple1" qsCatId="simple" csTypeId="urn:microsoft.com/office/officeart/2005/8/colors/colorful4" csCatId="colorful" phldr="1"/>
      <dgm:spPr>
        <a:scene3d>
          <a:camera prst="orthographicFront">
            <a:rot lat="0" lon="0" rev="0"/>
          </a:camera>
          <a:lightRig rig="contrasting" dir="t">
            <a:rot lat="0" lon="0" rev="1500000"/>
          </a:lightRig>
        </a:scene3d>
      </dgm:spPr>
      <dgm:t>
        <a:bodyPr/>
        <a:lstStyle/>
        <a:p>
          <a:endParaRPr lang="en-US"/>
        </a:p>
      </dgm:t>
    </dgm:pt>
    <dgm:pt modelId="{314C2B2A-3DE3-42F2-BA7A-9ABCCEB51250}">
      <dgm:prSet phldrT="[Teksti]" custT="1"/>
      <dgm:spPr>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dgm:spPr>
      <dgm:t>
        <a:bodyPr/>
        <a:lstStyle/>
        <a:p>
          <a:r>
            <a:rPr lang="en-US" sz="1400"/>
            <a:t>Etusivu</a:t>
          </a:r>
        </a:p>
      </dgm:t>
    </dgm:pt>
    <dgm:pt modelId="{63FB7B35-1C4F-4BD5-9AA5-5805FD86348F}" type="parTrans" cxnId="{2C7FE01C-0FBF-4D9E-8996-91DEFC77B990}">
      <dgm:prSet/>
      <dgm:spPr/>
      <dgm:t>
        <a:bodyPr/>
        <a:lstStyle/>
        <a:p>
          <a:endParaRPr lang="en-US" sz="3600"/>
        </a:p>
      </dgm:t>
    </dgm:pt>
    <dgm:pt modelId="{E2C89D42-CFD5-4116-96F7-6B16385194F3}" type="sibTrans" cxnId="{2C7FE01C-0FBF-4D9E-8996-91DEFC77B990}">
      <dgm:prSet custT="1"/>
      <dgm:spPr>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dgm:spPr>
      <dgm:t>
        <a:bodyPr/>
        <a:lstStyle/>
        <a:p>
          <a:endParaRPr lang="en-US" sz="1100"/>
        </a:p>
      </dgm:t>
    </dgm:pt>
    <dgm:pt modelId="{8D692E45-888B-416A-A00F-0EC343AF32AE}">
      <dgm:prSet phldrT="[Teksti]" custT="1"/>
      <dgm:spPr>
        <a:solidFill>
          <a:schemeClr val="bg2">
            <a:lumMod val="90000"/>
          </a:schemeClr>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dgm:spPr>
      <dgm:t>
        <a:bodyPr/>
        <a:lstStyle/>
        <a:p>
          <a:r>
            <a:rPr lang="en-US" sz="1200"/>
            <a:t>Ohje</a:t>
          </a:r>
        </a:p>
      </dgm:t>
      <dgm:extLst>
        <a:ext uri="{E40237B7-FDA0-4F09-8148-C483321AD2D9}">
          <dgm14:cNvPr xmlns:dgm14="http://schemas.microsoft.com/office/drawing/2010/diagram" id="0" name="">
            <a:hlinkClick xmlns:r="http://schemas.openxmlformats.org/officeDocument/2006/relationships" r:id="rId1"/>
          </dgm14:cNvPr>
        </a:ext>
      </dgm:extLst>
    </dgm:pt>
    <dgm:pt modelId="{5DF2748D-B4D1-4368-9FEB-28A1B92D2CE7}" type="parTrans" cxnId="{8708E423-05DA-4E13-BC9A-718E229EE358}">
      <dgm:prSet/>
      <dgm:spPr/>
      <dgm:t>
        <a:bodyPr/>
        <a:lstStyle/>
        <a:p>
          <a:endParaRPr lang="en-US" sz="3600"/>
        </a:p>
      </dgm:t>
    </dgm:pt>
    <dgm:pt modelId="{800793F0-55F4-4DDA-9D4B-4F58B917568A}" type="sibTrans" cxnId="{8708E423-05DA-4E13-BC9A-718E229EE358}">
      <dgm:prSet custT="1"/>
      <dgm:spPr>
        <a:solidFill>
          <a:schemeClr val="bg1">
            <a:lumMod val="75000"/>
          </a:schemeClr>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dgm:spPr>
      <dgm:t>
        <a:bodyPr/>
        <a:lstStyle/>
        <a:p>
          <a:endParaRPr lang="en-US" sz="1100"/>
        </a:p>
      </dgm:t>
    </dgm:pt>
    <dgm:pt modelId="{C879ED1B-D396-4ECB-8FD9-5F2EE09888DC}">
      <dgm:prSet phldrT="[Teksti]" custT="1"/>
      <dgm:spPr>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dgm:spPr>
      <dgm:t>
        <a:bodyPr/>
        <a:lstStyle/>
        <a:p>
          <a:r>
            <a:rPr lang="en-US" sz="1400">
              <a:solidFill>
                <a:schemeClr val="bg2">
                  <a:lumMod val="50000"/>
                </a:schemeClr>
              </a:solidFill>
            </a:rPr>
            <a:t>Lähtötiedot</a:t>
          </a:r>
        </a:p>
        <a:p>
          <a:r>
            <a:rPr lang="en-US" sz="1050">
              <a:solidFill>
                <a:schemeClr val="bg2">
                  <a:lumMod val="50000"/>
                </a:schemeClr>
              </a:solidFill>
            </a:rPr>
            <a:t>Energiantarve</a:t>
          </a:r>
          <a:endParaRPr lang="en-US" sz="900">
            <a:solidFill>
              <a:schemeClr val="bg2">
                <a:lumMod val="50000"/>
              </a:schemeClr>
            </a:solidFill>
          </a:endParaRPr>
        </a:p>
      </dgm:t>
      <dgm:extLst>
        <a:ext uri="{E40237B7-FDA0-4F09-8148-C483321AD2D9}">
          <dgm14:cNvPr xmlns:dgm14="http://schemas.microsoft.com/office/drawing/2010/diagram" id="0" name="">
            <a:hlinkClick xmlns:r="http://schemas.openxmlformats.org/officeDocument/2006/relationships" r:id="rId2"/>
          </dgm14:cNvPr>
        </a:ext>
      </dgm:extLst>
    </dgm:pt>
    <dgm:pt modelId="{0F66B8B0-9116-4B37-B781-F150395153B2}" type="parTrans" cxnId="{4B56025F-392E-41AD-B13C-4657C73E0199}">
      <dgm:prSet/>
      <dgm:spPr/>
      <dgm:t>
        <a:bodyPr/>
        <a:lstStyle/>
        <a:p>
          <a:endParaRPr lang="en-US" sz="3600"/>
        </a:p>
      </dgm:t>
    </dgm:pt>
    <dgm:pt modelId="{B2DA7FD3-A2A3-4415-AC52-76D444EAC454}" type="sibTrans" cxnId="{4B56025F-392E-41AD-B13C-4657C73E0199}">
      <dgm:prSet custT="1"/>
      <dgm:spPr>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dgm:spPr>
      <dgm:t>
        <a:bodyPr/>
        <a:lstStyle/>
        <a:p>
          <a:endParaRPr lang="en-US" sz="1100"/>
        </a:p>
      </dgm:t>
    </dgm:pt>
    <dgm:pt modelId="{CA23B7F3-421E-4D48-81D6-52BCC3C557F0}">
      <dgm:prSet phldrT="[Teksti]" custT="1"/>
      <dgm:spPr>
        <a:solidFill>
          <a:schemeClr val="accent4">
            <a:lumMod val="75000"/>
          </a:schemeClr>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dgm:spPr>
      <dgm:t>
        <a:bodyPr/>
        <a:lstStyle/>
        <a:p>
          <a:r>
            <a:rPr lang="en-US" sz="1600">
              <a:solidFill>
                <a:schemeClr val="accent6">
                  <a:lumMod val="50000"/>
                </a:schemeClr>
              </a:solidFill>
            </a:rPr>
            <a:t>Hävikki</a:t>
          </a:r>
        </a:p>
      </dgm:t>
      <dgm:extLst>
        <a:ext uri="{E40237B7-FDA0-4F09-8148-C483321AD2D9}">
          <dgm14:cNvPr xmlns:dgm14="http://schemas.microsoft.com/office/drawing/2010/diagram" id="0" name="">
            <a:hlinkClick xmlns:r="http://schemas.openxmlformats.org/officeDocument/2006/relationships" r:id="rId3"/>
          </dgm14:cNvPr>
        </a:ext>
      </dgm:extLst>
    </dgm:pt>
    <dgm:pt modelId="{BA7B7ACB-402E-4748-9892-37387F0CBFCD}" type="parTrans" cxnId="{07DB46D4-AD1B-416C-896D-5366E21BB73C}">
      <dgm:prSet/>
      <dgm:spPr/>
      <dgm:t>
        <a:bodyPr/>
        <a:lstStyle/>
        <a:p>
          <a:endParaRPr lang="en-US" sz="3600"/>
        </a:p>
      </dgm:t>
    </dgm:pt>
    <dgm:pt modelId="{6098FB8F-374D-4729-BC4F-BE6F85E73465}" type="sibTrans" cxnId="{07DB46D4-AD1B-416C-896D-5366E21BB73C}">
      <dgm:prSet custT="1"/>
      <dgm:spPr>
        <a:solidFill>
          <a:schemeClr val="accent4">
            <a:lumMod val="75000"/>
          </a:schemeClr>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dgm:spPr>
      <dgm:t>
        <a:bodyPr/>
        <a:lstStyle/>
        <a:p>
          <a:endParaRPr lang="en-US" sz="1100"/>
        </a:p>
      </dgm:t>
    </dgm:pt>
    <dgm:pt modelId="{06977799-168F-4B64-8840-364B0F493B3E}">
      <dgm:prSet phldrT="[Teksti]" custT="1"/>
      <dgm:spPr>
        <a:solidFill>
          <a:srgbClr val="92D050"/>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dgm:spPr>
      <dgm:t>
        <a:bodyPr/>
        <a:lstStyle/>
        <a:p>
          <a:r>
            <a:rPr lang="en-US" sz="1400">
              <a:solidFill>
                <a:schemeClr val="accent6">
                  <a:lumMod val="50000"/>
                </a:schemeClr>
              </a:solidFill>
              <a:latin typeface="+mj-lt"/>
            </a:rPr>
            <a:t>Säilörehun tuotanto-kustannus</a:t>
          </a:r>
          <a:endParaRPr lang="en-US" sz="1400">
            <a:solidFill>
              <a:srgbClr val="002060"/>
            </a:solidFill>
            <a:latin typeface="+mj-lt"/>
          </a:endParaRPr>
        </a:p>
      </dgm:t>
      <dgm:extLst>
        <a:ext uri="{E40237B7-FDA0-4F09-8148-C483321AD2D9}">
          <dgm14:cNvPr xmlns:dgm14="http://schemas.microsoft.com/office/drawing/2010/diagram" id="0" name="">
            <a:hlinkClick xmlns:r="http://schemas.openxmlformats.org/officeDocument/2006/relationships" r:id="rId4"/>
          </dgm14:cNvPr>
        </a:ext>
      </dgm:extLst>
    </dgm:pt>
    <dgm:pt modelId="{75F76C39-B62F-4BCE-B1D5-27BA75568DFC}" type="parTrans" cxnId="{8F8AE380-662F-441B-B6D9-926A76651125}">
      <dgm:prSet/>
      <dgm:spPr/>
      <dgm:t>
        <a:bodyPr/>
        <a:lstStyle/>
        <a:p>
          <a:endParaRPr lang="en-US" sz="3600"/>
        </a:p>
      </dgm:t>
    </dgm:pt>
    <dgm:pt modelId="{756FE31F-31E9-4591-88BF-7CCC5E2DE59D}" type="sibTrans" cxnId="{8F8AE380-662F-441B-B6D9-926A76651125}">
      <dgm:prSet custT="1"/>
      <dgm:spPr>
        <a:solidFill>
          <a:srgbClr val="92D050"/>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dgm:spPr>
      <dgm:t>
        <a:bodyPr/>
        <a:lstStyle/>
        <a:p>
          <a:endParaRPr lang="en-US" sz="1100"/>
        </a:p>
      </dgm:t>
    </dgm:pt>
    <dgm:pt modelId="{EB073590-1FFB-4C20-846D-DA45788E58A5}">
      <dgm:prSet phldrT="[Teksti]" custT="1"/>
      <dgm:spPr>
        <a:solidFill>
          <a:srgbClr val="FFCCFF"/>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dgm:spPr>
      <dgm:t>
        <a:bodyPr/>
        <a:lstStyle/>
        <a:p>
          <a:r>
            <a:rPr lang="en-US" sz="1400">
              <a:solidFill>
                <a:srgbClr val="002060"/>
              </a:solidFill>
              <a:latin typeface="+mj-lt"/>
            </a:rPr>
            <a:t>Kotieläin tuotanto-kustannus</a:t>
          </a:r>
          <a:endParaRPr lang="en-US" sz="1400">
            <a:latin typeface="+mj-lt"/>
          </a:endParaRPr>
        </a:p>
      </dgm:t>
      <dgm:extLst>
        <a:ext uri="{E40237B7-FDA0-4F09-8148-C483321AD2D9}">
          <dgm14:cNvPr xmlns:dgm14="http://schemas.microsoft.com/office/drawing/2010/diagram" id="0" name="">
            <a:hlinkClick xmlns:r="http://schemas.openxmlformats.org/officeDocument/2006/relationships" r:id="rId5"/>
          </dgm14:cNvPr>
        </a:ext>
      </dgm:extLst>
    </dgm:pt>
    <dgm:pt modelId="{CE23E824-5B4A-47E8-B77A-77AD6492859F}" type="parTrans" cxnId="{102BB3C6-F36C-4332-A838-B093682E1343}">
      <dgm:prSet/>
      <dgm:spPr/>
      <dgm:t>
        <a:bodyPr/>
        <a:lstStyle/>
        <a:p>
          <a:endParaRPr lang="en-US" sz="3600"/>
        </a:p>
      </dgm:t>
    </dgm:pt>
    <dgm:pt modelId="{2421649C-A7C3-46D9-A504-A10079ECA675}" type="sibTrans" cxnId="{102BB3C6-F36C-4332-A838-B093682E1343}">
      <dgm:prSet custT="1"/>
      <dgm:spPr>
        <a:solidFill>
          <a:srgbClr val="FFCCFF"/>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dgm:spPr>
      <dgm:t>
        <a:bodyPr/>
        <a:lstStyle/>
        <a:p>
          <a:endParaRPr lang="en-US" sz="1100"/>
        </a:p>
      </dgm:t>
    </dgm:pt>
    <dgm:pt modelId="{E781B126-6A51-42FD-A193-C813EEDA9B22}">
      <dgm:prSet phldrT="[Teksti]" custT="1"/>
      <dgm:spPr>
        <a:solidFill>
          <a:schemeClr val="accent6">
            <a:lumMod val="75000"/>
          </a:schemeClr>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dgm:spPr>
      <dgm:t>
        <a:bodyPr/>
        <a:lstStyle/>
        <a:p>
          <a:r>
            <a:rPr lang="en-US" sz="1400"/>
            <a:t>Vertailu</a:t>
          </a:r>
        </a:p>
      </dgm:t>
      <dgm:extLst>
        <a:ext uri="{E40237B7-FDA0-4F09-8148-C483321AD2D9}">
          <dgm14:cNvPr xmlns:dgm14="http://schemas.microsoft.com/office/drawing/2010/diagram" id="0" name="">
            <a:hlinkClick xmlns:r="http://schemas.openxmlformats.org/officeDocument/2006/relationships" r:id="rId6"/>
          </dgm14:cNvPr>
        </a:ext>
      </dgm:extLst>
    </dgm:pt>
    <dgm:pt modelId="{05F758EE-2FF2-4811-A207-9F3014BCC186}" type="parTrans" cxnId="{3F5137D9-4322-482E-8DCA-8CB31698A480}">
      <dgm:prSet/>
      <dgm:spPr/>
      <dgm:t>
        <a:bodyPr/>
        <a:lstStyle/>
        <a:p>
          <a:endParaRPr lang="en-US" sz="3600"/>
        </a:p>
      </dgm:t>
    </dgm:pt>
    <dgm:pt modelId="{84817C68-3708-4245-B197-2C758E72ED1A}" type="sibTrans" cxnId="{3F5137D9-4322-482E-8DCA-8CB31698A480}">
      <dgm:prSet custT="1"/>
      <dgm:spPr>
        <a:solidFill>
          <a:schemeClr val="accent6">
            <a:lumMod val="75000"/>
          </a:schemeClr>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dgm:spPr>
      <dgm:t>
        <a:bodyPr/>
        <a:lstStyle/>
        <a:p>
          <a:endParaRPr lang="en-US" sz="1100"/>
        </a:p>
      </dgm:t>
    </dgm:pt>
    <dgm:pt modelId="{6BCE7D39-B379-4ACD-85E0-96CF43A91D4F}">
      <dgm:prSet phldrT="[Teksti]" custT="1"/>
      <dgm:spPr>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dgm:spPr>
      <dgm:t>
        <a:bodyPr/>
        <a:lstStyle/>
        <a:p>
          <a:r>
            <a:rPr lang="en-US" sz="1400"/>
            <a:t>Testaus ja analyysi</a:t>
          </a:r>
        </a:p>
      </dgm:t>
      <dgm:extLst>
        <a:ext uri="{E40237B7-FDA0-4F09-8148-C483321AD2D9}">
          <dgm14:cNvPr xmlns:dgm14="http://schemas.microsoft.com/office/drawing/2010/diagram" id="0" name="">
            <a:hlinkClick xmlns:r="http://schemas.openxmlformats.org/officeDocument/2006/relationships" r:id="rId5"/>
          </dgm14:cNvPr>
        </a:ext>
      </dgm:extLst>
    </dgm:pt>
    <dgm:pt modelId="{E5A2CEEC-3540-4503-822C-70EA4C602715}" type="parTrans" cxnId="{5728954F-4E8C-480F-A9A3-00286881573E}">
      <dgm:prSet/>
      <dgm:spPr/>
      <dgm:t>
        <a:bodyPr/>
        <a:lstStyle/>
        <a:p>
          <a:endParaRPr lang="en-US" sz="3600"/>
        </a:p>
      </dgm:t>
    </dgm:pt>
    <dgm:pt modelId="{736F434A-1741-4A8F-A652-0C199DB05515}" type="sibTrans" cxnId="{5728954F-4E8C-480F-A9A3-00286881573E}">
      <dgm:prSet custT="1"/>
      <dgm:spPr>
        <a:solidFill>
          <a:srgbClr val="00B0F0"/>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dgm:spPr>
      <dgm:t>
        <a:bodyPr/>
        <a:lstStyle/>
        <a:p>
          <a:endParaRPr lang="en-US" sz="1100"/>
        </a:p>
      </dgm:t>
    </dgm:pt>
    <dgm:pt modelId="{D107D083-35E2-49B8-ACAE-A258369E63AA}">
      <dgm:prSet phldrT="[Teksti]" custT="1"/>
      <dgm:spPr>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dgm:spPr>
      <dgm:t>
        <a:bodyPr/>
        <a:lstStyle/>
        <a:p>
          <a:r>
            <a:rPr lang="en-US" sz="1400"/>
            <a:t>Johto-päätökset</a:t>
          </a:r>
        </a:p>
      </dgm:t>
      <dgm:extLst>
        <a:ext uri="{E40237B7-FDA0-4F09-8148-C483321AD2D9}">
          <dgm14:cNvPr xmlns:dgm14="http://schemas.microsoft.com/office/drawing/2010/diagram" id="0" name="">
            <a:hlinkClick xmlns:r="http://schemas.openxmlformats.org/officeDocument/2006/relationships" r:id="rId7"/>
          </dgm14:cNvPr>
        </a:ext>
      </dgm:extLst>
    </dgm:pt>
    <dgm:pt modelId="{A3119FEB-B394-4456-A301-7B3585622439}" type="parTrans" cxnId="{EC8AAFB3-5AD8-49B8-87D1-EC51BF5C93B9}">
      <dgm:prSet/>
      <dgm:spPr/>
      <dgm:t>
        <a:bodyPr/>
        <a:lstStyle/>
        <a:p>
          <a:endParaRPr lang="en-US" sz="3600"/>
        </a:p>
      </dgm:t>
    </dgm:pt>
    <dgm:pt modelId="{D0F1948E-5700-449B-A218-DFFA37DD4B21}" type="sibTrans" cxnId="{EC8AAFB3-5AD8-49B8-87D1-EC51BF5C93B9}">
      <dgm:prSet custT="1"/>
      <dgm:spPr>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dgm:spPr>
      <dgm:t>
        <a:bodyPr/>
        <a:lstStyle/>
        <a:p>
          <a:endParaRPr lang="en-US" sz="1100"/>
        </a:p>
      </dgm:t>
    </dgm:pt>
    <dgm:pt modelId="{DB8727BF-E11A-479E-8B8D-7AAF352B619E}">
      <dgm:prSet phldrT="[Teksti]" custT="1"/>
      <dgm:spPr>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dgm:spPr>
      <dgm:t>
        <a:bodyPr/>
        <a:lstStyle/>
        <a:p>
          <a:r>
            <a:rPr lang="en-US" sz="1200"/>
            <a:t>Tuotannon kehittäminen</a:t>
          </a:r>
        </a:p>
      </dgm:t>
      <dgm:extLst>
        <a:ext uri="{E40237B7-FDA0-4F09-8148-C483321AD2D9}">
          <dgm14:cNvPr xmlns:dgm14="http://schemas.microsoft.com/office/drawing/2010/diagram" id="0" name="">
            <a:hlinkClick xmlns:r="http://schemas.openxmlformats.org/officeDocument/2006/relationships" r:id="rId7"/>
          </dgm14:cNvPr>
        </a:ext>
      </dgm:extLst>
    </dgm:pt>
    <dgm:pt modelId="{AEE0F323-2BF3-405B-BC6E-2231D6AC099E}" type="parTrans" cxnId="{E47CE042-0188-4809-91F3-0DAD2CE34C16}">
      <dgm:prSet/>
      <dgm:spPr/>
      <dgm:t>
        <a:bodyPr/>
        <a:lstStyle/>
        <a:p>
          <a:endParaRPr lang="en-US" sz="3600"/>
        </a:p>
      </dgm:t>
    </dgm:pt>
    <dgm:pt modelId="{EF45ACB8-DD5F-4EF1-A72F-05E01E43443F}" type="sibTrans" cxnId="{E47CE042-0188-4809-91F3-0DAD2CE34C16}">
      <dgm:prSet/>
      <dgm:spPr/>
      <dgm:t>
        <a:bodyPr/>
        <a:lstStyle/>
        <a:p>
          <a:endParaRPr lang="en-US" sz="3600"/>
        </a:p>
      </dgm:t>
    </dgm:pt>
    <dgm:pt modelId="{1C74E1A1-C592-4D92-B91B-07F29F80D2BE}">
      <dgm:prSet phldrT="[Teksti]" custT="1"/>
      <dgm:spPr>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dgm:spPr>
      <dgm:t>
        <a:bodyPr/>
        <a:lstStyle/>
        <a:p>
          <a:r>
            <a:rPr lang="en-US" sz="1200">
              <a:solidFill>
                <a:schemeClr val="bg2">
                  <a:lumMod val="50000"/>
                </a:schemeClr>
              </a:solidFill>
            </a:rPr>
            <a:t>Rehun käyttö, nettosato</a:t>
          </a:r>
        </a:p>
      </dgm:t>
      <dgm:extLst>
        <a:ext uri="{E40237B7-FDA0-4F09-8148-C483321AD2D9}">
          <dgm14:cNvPr xmlns:dgm14="http://schemas.microsoft.com/office/drawing/2010/diagram" id="0" name="">
            <a:hlinkClick xmlns:r="http://schemas.openxmlformats.org/officeDocument/2006/relationships" r:id="rId8"/>
          </dgm14:cNvPr>
        </a:ext>
      </dgm:extLst>
    </dgm:pt>
    <dgm:pt modelId="{58CC2E9B-B0E8-4F58-AF6A-A33F1C304B3A}" type="parTrans" cxnId="{91F8AF6F-923E-463D-9796-AAA114460F92}">
      <dgm:prSet/>
      <dgm:spPr/>
      <dgm:t>
        <a:bodyPr/>
        <a:lstStyle/>
        <a:p>
          <a:endParaRPr lang="fi-FI"/>
        </a:p>
      </dgm:t>
    </dgm:pt>
    <dgm:pt modelId="{74736FE1-54FB-4CE9-B4DA-B4E269F08A19}" type="sibTrans" cxnId="{91F8AF6F-923E-463D-9796-AAA114460F92}">
      <dgm:prSet/>
      <dgm:spPr>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dgm:spPr>
      <dgm:t>
        <a:bodyPr/>
        <a:lstStyle/>
        <a:p>
          <a:endParaRPr lang="fi-FI"/>
        </a:p>
      </dgm:t>
    </dgm:pt>
    <dgm:pt modelId="{D7C9855E-B0FB-4E97-ACC2-45D7B5FA2B11}">
      <dgm:prSet phldrT="[Teksti]" custT="1"/>
      <dgm:spPr>
        <a:solidFill>
          <a:schemeClr val="accent6">
            <a:lumMod val="40000"/>
            <a:lumOff val="60000"/>
          </a:schemeClr>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dgm:spPr>
      <dgm:t>
        <a:bodyPr/>
        <a:lstStyle/>
        <a:p>
          <a:r>
            <a:rPr lang="en-US" sz="1400">
              <a:solidFill>
                <a:schemeClr val="bg2">
                  <a:lumMod val="50000"/>
                </a:schemeClr>
              </a:solidFill>
            </a:rPr>
            <a:t>Rehun-tuotanto</a:t>
          </a:r>
        </a:p>
      </dgm:t>
      <dgm:extLst>
        <a:ext uri="{E40237B7-FDA0-4F09-8148-C483321AD2D9}">
          <dgm14:cNvPr xmlns:dgm14="http://schemas.microsoft.com/office/drawing/2010/diagram" id="0" name="">
            <a:hlinkClick xmlns:r="http://schemas.openxmlformats.org/officeDocument/2006/relationships" r:id="rId9"/>
          </dgm14:cNvPr>
        </a:ext>
      </dgm:extLst>
    </dgm:pt>
    <dgm:pt modelId="{8352D2CF-7689-4750-8728-C3B01ACDA414}" type="parTrans" cxnId="{A2011D88-1F09-4659-A8FC-1F60ADB1759C}">
      <dgm:prSet/>
      <dgm:spPr/>
      <dgm:t>
        <a:bodyPr/>
        <a:lstStyle/>
        <a:p>
          <a:endParaRPr lang="fi-FI"/>
        </a:p>
      </dgm:t>
    </dgm:pt>
    <dgm:pt modelId="{4FA0EF42-9AD8-44B1-9149-66E20E61BB78}" type="sibTrans" cxnId="{A2011D88-1F09-4659-A8FC-1F60ADB1759C}">
      <dgm:prSet/>
      <dgm:spPr>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dgm:spPr>
      <dgm:t>
        <a:bodyPr/>
        <a:lstStyle/>
        <a:p>
          <a:endParaRPr lang="fi-FI"/>
        </a:p>
      </dgm:t>
    </dgm:pt>
    <dgm:pt modelId="{DC0EAA0C-D4E1-4EDD-B2C7-BEAF51B6476D}" type="pres">
      <dgm:prSet presAssocID="{51CD9267-CD74-466A-BDBD-E64273DFB0CC}" presName="diagram" presStyleCnt="0">
        <dgm:presLayoutVars>
          <dgm:dir/>
          <dgm:resizeHandles val="exact"/>
        </dgm:presLayoutVars>
      </dgm:prSet>
      <dgm:spPr/>
    </dgm:pt>
    <dgm:pt modelId="{AD75D7BA-EFB2-44F2-A516-4ABAC29955FE}" type="pres">
      <dgm:prSet presAssocID="{314C2B2A-3DE3-42F2-BA7A-9ABCCEB51250}" presName="node" presStyleLbl="node1" presStyleIdx="0" presStyleCnt="12">
        <dgm:presLayoutVars>
          <dgm:bulletEnabled val="1"/>
        </dgm:presLayoutVars>
      </dgm:prSet>
      <dgm:spPr/>
    </dgm:pt>
    <dgm:pt modelId="{B4A2442E-FAFA-473A-A28F-6CBFBF8E3792}" type="pres">
      <dgm:prSet presAssocID="{E2C89D42-CFD5-4116-96F7-6B16385194F3}" presName="sibTrans" presStyleLbl="sibTrans2D1" presStyleIdx="0" presStyleCnt="11"/>
      <dgm:spPr/>
    </dgm:pt>
    <dgm:pt modelId="{8A757B17-2879-4FF9-94B3-951EC024AB84}" type="pres">
      <dgm:prSet presAssocID="{E2C89D42-CFD5-4116-96F7-6B16385194F3}" presName="connectorText" presStyleLbl="sibTrans2D1" presStyleIdx="0" presStyleCnt="11"/>
      <dgm:spPr/>
    </dgm:pt>
    <dgm:pt modelId="{44604B87-F586-4073-9E9A-64665BC69D25}" type="pres">
      <dgm:prSet presAssocID="{8D692E45-888B-416A-A00F-0EC343AF32AE}" presName="node" presStyleLbl="node1" presStyleIdx="1" presStyleCnt="12">
        <dgm:presLayoutVars>
          <dgm:bulletEnabled val="1"/>
        </dgm:presLayoutVars>
      </dgm:prSet>
      <dgm:spPr/>
    </dgm:pt>
    <dgm:pt modelId="{6AEFC486-1FA3-4EA6-ABD7-EBCCF4D843D8}" type="pres">
      <dgm:prSet presAssocID="{800793F0-55F4-4DDA-9D4B-4F58B917568A}" presName="sibTrans" presStyleLbl="sibTrans2D1" presStyleIdx="1" presStyleCnt="11"/>
      <dgm:spPr/>
    </dgm:pt>
    <dgm:pt modelId="{3F577A45-5ADD-415A-8092-800C65E2BA2E}" type="pres">
      <dgm:prSet presAssocID="{800793F0-55F4-4DDA-9D4B-4F58B917568A}" presName="connectorText" presStyleLbl="sibTrans2D1" presStyleIdx="1" presStyleCnt="11"/>
      <dgm:spPr/>
    </dgm:pt>
    <dgm:pt modelId="{0A9A3233-B3CA-4FB2-BCAB-0CF8B32D0A58}" type="pres">
      <dgm:prSet presAssocID="{C879ED1B-D396-4ECB-8FD9-5F2EE09888DC}" presName="node" presStyleLbl="node1" presStyleIdx="2" presStyleCnt="12">
        <dgm:presLayoutVars>
          <dgm:bulletEnabled val="1"/>
        </dgm:presLayoutVars>
      </dgm:prSet>
      <dgm:spPr/>
    </dgm:pt>
    <dgm:pt modelId="{F08053DE-4890-4928-8C01-5878C62E78F7}" type="pres">
      <dgm:prSet presAssocID="{B2DA7FD3-A2A3-4415-AC52-76D444EAC454}" presName="sibTrans" presStyleLbl="sibTrans2D1" presStyleIdx="2" presStyleCnt="11"/>
      <dgm:spPr/>
    </dgm:pt>
    <dgm:pt modelId="{65142C13-91BF-4162-8FA9-876D7D917463}" type="pres">
      <dgm:prSet presAssocID="{B2DA7FD3-A2A3-4415-AC52-76D444EAC454}" presName="connectorText" presStyleLbl="sibTrans2D1" presStyleIdx="2" presStyleCnt="11"/>
      <dgm:spPr/>
    </dgm:pt>
    <dgm:pt modelId="{F17B1705-CB0C-4B5E-B019-714183791962}" type="pres">
      <dgm:prSet presAssocID="{D7C9855E-B0FB-4E97-ACC2-45D7B5FA2B11}" presName="node" presStyleLbl="node1" presStyleIdx="3" presStyleCnt="12">
        <dgm:presLayoutVars>
          <dgm:bulletEnabled val="1"/>
        </dgm:presLayoutVars>
      </dgm:prSet>
      <dgm:spPr/>
    </dgm:pt>
    <dgm:pt modelId="{A19140E3-FA5A-48D6-8D49-12A9F8919ADC}" type="pres">
      <dgm:prSet presAssocID="{4FA0EF42-9AD8-44B1-9149-66E20E61BB78}" presName="sibTrans" presStyleLbl="sibTrans2D1" presStyleIdx="3" presStyleCnt="11"/>
      <dgm:spPr/>
    </dgm:pt>
    <dgm:pt modelId="{1170A185-56B8-4766-98D5-E1E5882BB869}" type="pres">
      <dgm:prSet presAssocID="{4FA0EF42-9AD8-44B1-9149-66E20E61BB78}" presName="connectorText" presStyleLbl="sibTrans2D1" presStyleIdx="3" presStyleCnt="11"/>
      <dgm:spPr/>
    </dgm:pt>
    <dgm:pt modelId="{49D0D488-80FA-4F2E-96DA-10A358313F17}" type="pres">
      <dgm:prSet presAssocID="{1C74E1A1-C592-4D92-B91B-07F29F80D2BE}" presName="node" presStyleLbl="node1" presStyleIdx="4" presStyleCnt="12">
        <dgm:presLayoutVars>
          <dgm:bulletEnabled val="1"/>
        </dgm:presLayoutVars>
      </dgm:prSet>
      <dgm:spPr/>
    </dgm:pt>
    <dgm:pt modelId="{3B35EF0F-EB42-4414-BDAB-F8615F5368D3}" type="pres">
      <dgm:prSet presAssocID="{74736FE1-54FB-4CE9-B4DA-B4E269F08A19}" presName="sibTrans" presStyleLbl="sibTrans2D1" presStyleIdx="4" presStyleCnt="11"/>
      <dgm:spPr/>
    </dgm:pt>
    <dgm:pt modelId="{8AE6E641-1347-477E-AB85-EDC803961DFA}" type="pres">
      <dgm:prSet presAssocID="{74736FE1-54FB-4CE9-B4DA-B4E269F08A19}" presName="connectorText" presStyleLbl="sibTrans2D1" presStyleIdx="4" presStyleCnt="11"/>
      <dgm:spPr/>
    </dgm:pt>
    <dgm:pt modelId="{865B3EAC-508F-4DD9-AFFA-0FCE583E15BC}" type="pres">
      <dgm:prSet presAssocID="{CA23B7F3-421E-4D48-81D6-52BCC3C557F0}" presName="node" presStyleLbl="node1" presStyleIdx="5" presStyleCnt="12">
        <dgm:presLayoutVars>
          <dgm:bulletEnabled val="1"/>
        </dgm:presLayoutVars>
      </dgm:prSet>
      <dgm:spPr/>
    </dgm:pt>
    <dgm:pt modelId="{85A1821D-26F5-41DA-B137-722A495C112A}" type="pres">
      <dgm:prSet presAssocID="{6098FB8F-374D-4729-BC4F-BE6F85E73465}" presName="sibTrans" presStyleLbl="sibTrans2D1" presStyleIdx="5" presStyleCnt="11"/>
      <dgm:spPr/>
    </dgm:pt>
    <dgm:pt modelId="{41A648E1-E04A-43F7-9540-0AC15773EF7D}" type="pres">
      <dgm:prSet presAssocID="{6098FB8F-374D-4729-BC4F-BE6F85E73465}" presName="connectorText" presStyleLbl="sibTrans2D1" presStyleIdx="5" presStyleCnt="11"/>
      <dgm:spPr/>
    </dgm:pt>
    <dgm:pt modelId="{0449F9EA-3484-4E7B-B27C-410914E11F2C}" type="pres">
      <dgm:prSet presAssocID="{06977799-168F-4B64-8840-364B0F493B3E}" presName="node" presStyleLbl="node1" presStyleIdx="6" presStyleCnt="12">
        <dgm:presLayoutVars>
          <dgm:bulletEnabled val="1"/>
        </dgm:presLayoutVars>
      </dgm:prSet>
      <dgm:spPr/>
    </dgm:pt>
    <dgm:pt modelId="{2DA6D47A-94EC-459A-A3F3-38D7BF105575}" type="pres">
      <dgm:prSet presAssocID="{756FE31F-31E9-4591-88BF-7CCC5E2DE59D}" presName="sibTrans" presStyleLbl="sibTrans2D1" presStyleIdx="6" presStyleCnt="11"/>
      <dgm:spPr/>
    </dgm:pt>
    <dgm:pt modelId="{C46B062B-98D4-4176-83F1-50D31C57D2C7}" type="pres">
      <dgm:prSet presAssocID="{756FE31F-31E9-4591-88BF-7CCC5E2DE59D}" presName="connectorText" presStyleLbl="sibTrans2D1" presStyleIdx="6" presStyleCnt="11"/>
      <dgm:spPr/>
    </dgm:pt>
    <dgm:pt modelId="{BA6E9357-C493-4548-9AC5-609BF44F0028}" type="pres">
      <dgm:prSet presAssocID="{EB073590-1FFB-4C20-846D-DA45788E58A5}" presName="node" presStyleLbl="node1" presStyleIdx="7" presStyleCnt="12">
        <dgm:presLayoutVars>
          <dgm:bulletEnabled val="1"/>
        </dgm:presLayoutVars>
      </dgm:prSet>
      <dgm:spPr/>
    </dgm:pt>
    <dgm:pt modelId="{946EB20F-7580-4D15-994E-CD153B75CF5C}" type="pres">
      <dgm:prSet presAssocID="{2421649C-A7C3-46D9-A504-A10079ECA675}" presName="sibTrans" presStyleLbl="sibTrans2D1" presStyleIdx="7" presStyleCnt="11"/>
      <dgm:spPr/>
    </dgm:pt>
    <dgm:pt modelId="{14E0E57F-7224-4DD6-B88D-9D8E46362C26}" type="pres">
      <dgm:prSet presAssocID="{2421649C-A7C3-46D9-A504-A10079ECA675}" presName="connectorText" presStyleLbl="sibTrans2D1" presStyleIdx="7" presStyleCnt="11"/>
      <dgm:spPr/>
    </dgm:pt>
    <dgm:pt modelId="{892969C1-7F75-4DA4-BE74-AF63A9EC4D9B}" type="pres">
      <dgm:prSet presAssocID="{E781B126-6A51-42FD-A193-C813EEDA9B22}" presName="node" presStyleLbl="node1" presStyleIdx="8" presStyleCnt="12">
        <dgm:presLayoutVars>
          <dgm:bulletEnabled val="1"/>
        </dgm:presLayoutVars>
      </dgm:prSet>
      <dgm:spPr/>
    </dgm:pt>
    <dgm:pt modelId="{D60D7558-E70E-4424-A975-65336673B31A}" type="pres">
      <dgm:prSet presAssocID="{84817C68-3708-4245-B197-2C758E72ED1A}" presName="sibTrans" presStyleLbl="sibTrans2D1" presStyleIdx="8" presStyleCnt="11"/>
      <dgm:spPr/>
    </dgm:pt>
    <dgm:pt modelId="{613DBBD5-7DC0-43ED-AA1B-D429C3DB1BDF}" type="pres">
      <dgm:prSet presAssocID="{84817C68-3708-4245-B197-2C758E72ED1A}" presName="connectorText" presStyleLbl="sibTrans2D1" presStyleIdx="8" presStyleCnt="11"/>
      <dgm:spPr/>
    </dgm:pt>
    <dgm:pt modelId="{0EB580C1-D30B-4446-9399-40D1344A6B26}" type="pres">
      <dgm:prSet presAssocID="{6BCE7D39-B379-4ACD-85E0-96CF43A91D4F}" presName="node" presStyleLbl="node1" presStyleIdx="9" presStyleCnt="12">
        <dgm:presLayoutVars>
          <dgm:bulletEnabled val="1"/>
        </dgm:presLayoutVars>
      </dgm:prSet>
      <dgm:spPr/>
    </dgm:pt>
    <dgm:pt modelId="{40DAF143-1604-48E3-A57E-04DD104B08A4}" type="pres">
      <dgm:prSet presAssocID="{736F434A-1741-4A8F-A652-0C199DB05515}" presName="sibTrans" presStyleLbl="sibTrans2D1" presStyleIdx="9" presStyleCnt="11"/>
      <dgm:spPr/>
    </dgm:pt>
    <dgm:pt modelId="{7E2C77EA-C59D-4F24-A42A-91ED77919921}" type="pres">
      <dgm:prSet presAssocID="{736F434A-1741-4A8F-A652-0C199DB05515}" presName="connectorText" presStyleLbl="sibTrans2D1" presStyleIdx="9" presStyleCnt="11"/>
      <dgm:spPr/>
    </dgm:pt>
    <dgm:pt modelId="{FF37C8AC-22F3-4FF4-A98C-E0D3E047F527}" type="pres">
      <dgm:prSet presAssocID="{D107D083-35E2-49B8-ACAE-A258369E63AA}" presName="node" presStyleLbl="node1" presStyleIdx="10" presStyleCnt="12">
        <dgm:presLayoutVars>
          <dgm:bulletEnabled val="1"/>
        </dgm:presLayoutVars>
      </dgm:prSet>
      <dgm:spPr/>
    </dgm:pt>
    <dgm:pt modelId="{753A4782-2839-41DE-A701-24A7913BE30C}" type="pres">
      <dgm:prSet presAssocID="{D0F1948E-5700-449B-A218-DFFA37DD4B21}" presName="sibTrans" presStyleLbl="sibTrans2D1" presStyleIdx="10" presStyleCnt="11"/>
      <dgm:spPr/>
    </dgm:pt>
    <dgm:pt modelId="{BA71DFEC-2EBE-4DA0-A4C6-2FA0FFD13EA6}" type="pres">
      <dgm:prSet presAssocID="{D0F1948E-5700-449B-A218-DFFA37DD4B21}" presName="connectorText" presStyleLbl="sibTrans2D1" presStyleIdx="10" presStyleCnt="11"/>
      <dgm:spPr/>
    </dgm:pt>
    <dgm:pt modelId="{549B057C-0278-4B5C-B179-823B76D2D83A}" type="pres">
      <dgm:prSet presAssocID="{DB8727BF-E11A-479E-8B8D-7AAF352B619E}" presName="node" presStyleLbl="node1" presStyleIdx="11" presStyleCnt="12">
        <dgm:presLayoutVars>
          <dgm:bulletEnabled val="1"/>
        </dgm:presLayoutVars>
      </dgm:prSet>
      <dgm:spPr/>
    </dgm:pt>
  </dgm:ptLst>
  <dgm:cxnLst>
    <dgm:cxn modelId="{2C7FE01C-0FBF-4D9E-8996-91DEFC77B990}" srcId="{51CD9267-CD74-466A-BDBD-E64273DFB0CC}" destId="{314C2B2A-3DE3-42F2-BA7A-9ABCCEB51250}" srcOrd="0" destOrd="0" parTransId="{63FB7B35-1C4F-4BD5-9AA5-5805FD86348F}" sibTransId="{E2C89D42-CFD5-4116-96F7-6B16385194F3}"/>
    <dgm:cxn modelId="{0DEA6C1D-F41E-4591-9DAF-FF13F03C93D2}" type="presOf" srcId="{6BCE7D39-B379-4ACD-85E0-96CF43A91D4F}" destId="{0EB580C1-D30B-4446-9399-40D1344A6B26}" srcOrd="0" destOrd="0" presId="urn:microsoft.com/office/officeart/2005/8/layout/process5"/>
    <dgm:cxn modelId="{F53A9D1F-E083-4FDF-B346-8D8FBBD75E17}" type="presOf" srcId="{DB8727BF-E11A-479E-8B8D-7AAF352B619E}" destId="{549B057C-0278-4B5C-B179-823B76D2D83A}" srcOrd="0" destOrd="0" presId="urn:microsoft.com/office/officeart/2005/8/layout/process5"/>
    <dgm:cxn modelId="{94ECF821-93BC-4D74-8B91-01D61EF33677}" type="presOf" srcId="{EB073590-1FFB-4C20-846D-DA45788E58A5}" destId="{BA6E9357-C493-4548-9AC5-609BF44F0028}" srcOrd="0" destOrd="0" presId="urn:microsoft.com/office/officeart/2005/8/layout/process5"/>
    <dgm:cxn modelId="{8708E423-05DA-4E13-BC9A-718E229EE358}" srcId="{51CD9267-CD74-466A-BDBD-E64273DFB0CC}" destId="{8D692E45-888B-416A-A00F-0EC343AF32AE}" srcOrd="1" destOrd="0" parTransId="{5DF2748D-B4D1-4368-9FEB-28A1B92D2CE7}" sibTransId="{800793F0-55F4-4DDA-9D4B-4F58B917568A}"/>
    <dgm:cxn modelId="{219CD229-1DA0-41A1-8D4F-9233DAB37AA1}" type="presOf" srcId="{D7C9855E-B0FB-4E97-ACC2-45D7B5FA2B11}" destId="{F17B1705-CB0C-4B5E-B019-714183791962}" srcOrd="0" destOrd="0" presId="urn:microsoft.com/office/officeart/2005/8/layout/process5"/>
    <dgm:cxn modelId="{FEB7EE32-F9DD-41D8-9396-8101F6065FF1}" type="presOf" srcId="{736F434A-1741-4A8F-A652-0C199DB05515}" destId="{7E2C77EA-C59D-4F24-A42A-91ED77919921}" srcOrd="1" destOrd="0" presId="urn:microsoft.com/office/officeart/2005/8/layout/process5"/>
    <dgm:cxn modelId="{64E49136-72CD-4625-8DA6-4BF3A85FD7D7}" type="presOf" srcId="{74736FE1-54FB-4CE9-B4DA-B4E269F08A19}" destId="{8AE6E641-1347-477E-AB85-EDC803961DFA}" srcOrd="1" destOrd="0" presId="urn:microsoft.com/office/officeart/2005/8/layout/process5"/>
    <dgm:cxn modelId="{A2C9FF37-FAF2-427D-B20A-3B102328A182}" type="presOf" srcId="{756FE31F-31E9-4591-88BF-7CCC5E2DE59D}" destId="{2DA6D47A-94EC-459A-A3F3-38D7BF105575}" srcOrd="0" destOrd="0" presId="urn:microsoft.com/office/officeart/2005/8/layout/process5"/>
    <dgm:cxn modelId="{4B56025F-392E-41AD-B13C-4657C73E0199}" srcId="{51CD9267-CD74-466A-BDBD-E64273DFB0CC}" destId="{C879ED1B-D396-4ECB-8FD9-5F2EE09888DC}" srcOrd="2" destOrd="0" parTransId="{0F66B8B0-9116-4B37-B781-F150395153B2}" sibTransId="{B2DA7FD3-A2A3-4415-AC52-76D444EAC454}"/>
    <dgm:cxn modelId="{E47CE042-0188-4809-91F3-0DAD2CE34C16}" srcId="{51CD9267-CD74-466A-BDBD-E64273DFB0CC}" destId="{DB8727BF-E11A-479E-8B8D-7AAF352B619E}" srcOrd="11" destOrd="0" parTransId="{AEE0F323-2BF3-405B-BC6E-2231D6AC099E}" sibTransId="{EF45ACB8-DD5F-4EF1-A72F-05E01E43443F}"/>
    <dgm:cxn modelId="{CB4CD864-C289-49AD-8F50-57A312E3B9D7}" type="presOf" srcId="{6098FB8F-374D-4729-BC4F-BE6F85E73465}" destId="{85A1821D-26F5-41DA-B137-722A495C112A}" srcOrd="0" destOrd="0" presId="urn:microsoft.com/office/officeart/2005/8/layout/process5"/>
    <dgm:cxn modelId="{0C4D3F6F-E45F-48AE-AB59-E535F798EE9F}" type="presOf" srcId="{1C74E1A1-C592-4D92-B91B-07F29F80D2BE}" destId="{49D0D488-80FA-4F2E-96DA-10A358313F17}" srcOrd="0" destOrd="0" presId="urn:microsoft.com/office/officeart/2005/8/layout/process5"/>
    <dgm:cxn modelId="{5728954F-4E8C-480F-A9A3-00286881573E}" srcId="{51CD9267-CD74-466A-BDBD-E64273DFB0CC}" destId="{6BCE7D39-B379-4ACD-85E0-96CF43A91D4F}" srcOrd="9" destOrd="0" parTransId="{E5A2CEEC-3540-4503-822C-70EA4C602715}" sibTransId="{736F434A-1741-4A8F-A652-0C199DB05515}"/>
    <dgm:cxn modelId="{91F8AF6F-923E-463D-9796-AAA114460F92}" srcId="{51CD9267-CD74-466A-BDBD-E64273DFB0CC}" destId="{1C74E1A1-C592-4D92-B91B-07F29F80D2BE}" srcOrd="4" destOrd="0" parTransId="{58CC2E9B-B0E8-4F58-AF6A-A33F1C304B3A}" sibTransId="{74736FE1-54FB-4CE9-B4DA-B4E269F08A19}"/>
    <dgm:cxn modelId="{FAD86E74-F874-45D4-88D9-7BB3AD929EF2}" type="presOf" srcId="{314C2B2A-3DE3-42F2-BA7A-9ABCCEB51250}" destId="{AD75D7BA-EFB2-44F2-A516-4ABAC29955FE}" srcOrd="0" destOrd="0" presId="urn:microsoft.com/office/officeart/2005/8/layout/process5"/>
    <dgm:cxn modelId="{89C2A278-DD61-4F69-9F1F-40B507FD0D42}" type="presOf" srcId="{84817C68-3708-4245-B197-2C758E72ED1A}" destId="{D60D7558-E70E-4424-A975-65336673B31A}" srcOrd="0" destOrd="0" presId="urn:microsoft.com/office/officeart/2005/8/layout/process5"/>
    <dgm:cxn modelId="{12197A79-E5F9-4858-BE71-A3A8D4140FBE}" type="presOf" srcId="{2421649C-A7C3-46D9-A504-A10079ECA675}" destId="{14E0E57F-7224-4DD6-B88D-9D8E46362C26}" srcOrd="1" destOrd="0" presId="urn:microsoft.com/office/officeart/2005/8/layout/process5"/>
    <dgm:cxn modelId="{6D72D77B-101B-446C-BB61-1150C30959E7}" type="presOf" srcId="{06977799-168F-4B64-8840-364B0F493B3E}" destId="{0449F9EA-3484-4E7B-B27C-410914E11F2C}" srcOrd="0" destOrd="0" presId="urn:microsoft.com/office/officeart/2005/8/layout/process5"/>
    <dgm:cxn modelId="{EF31E47D-998E-4635-8CF1-9D827DA19AA3}" type="presOf" srcId="{800793F0-55F4-4DDA-9D4B-4F58B917568A}" destId="{3F577A45-5ADD-415A-8092-800C65E2BA2E}" srcOrd="1" destOrd="0" presId="urn:microsoft.com/office/officeart/2005/8/layout/process5"/>
    <dgm:cxn modelId="{8F8AE380-662F-441B-B6D9-926A76651125}" srcId="{51CD9267-CD74-466A-BDBD-E64273DFB0CC}" destId="{06977799-168F-4B64-8840-364B0F493B3E}" srcOrd="6" destOrd="0" parTransId="{75F76C39-B62F-4BCE-B1D5-27BA75568DFC}" sibTransId="{756FE31F-31E9-4591-88BF-7CCC5E2DE59D}"/>
    <dgm:cxn modelId="{A2011D88-1F09-4659-A8FC-1F60ADB1759C}" srcId="{51CD9267-CD74-466A-BDBD-E64273DFB0CC}" destId="{D7C9855E-B0FB-4E97-ACC2-45D7B5FA2B11}" srcOrd="3" destOrd="0" parTransId="{8352D2CF-7689-4750-8728-C3B01ACDA414}" sibTransId="{4FA0EF42-9AD8-44B1-9149-66E20E61BB78}"/>
    <dgm:cxn modelId="{28471898-FB66-4B02-9E5D-C4D57DEA18F5}" type="presOf" srcId="{E2C89D42-CFD5-4116-96F7-6B16385194F3}" destId="{8A757B17-2879-4FF9-94B3-951EC024AB84}" srcOrd="1" destOrd="0" presId="urn:microsoft.com/office/officeart/2005/8/layout/process5"/>
    <dgm:cxn modelId="{BE1706A1-F515-4C4B-8395-2474D45163A5}" type="presOf" srcId="{84817C68-3708-4245-B197-2C758E72ED1A}" destId="{613DBBD5-7DC0-43ED-AA1B-D429C3DB1BDF}" srcOrd="1" destOrd="0" presId="urn:microsoft.com/office/officeart/2005/8/layout/process5"/>
    <dgm:cxn modelId="{CE39AAA4-80E5-4555-989C-E7A9E41E2C4E}" type="presOf" srcId="{C879ED1B-D396-4ECB-8FD9-5F2EE09888DC}" destId="{0A9A3233-B3CA-4FB2-BCAB-0CF8B32D0A58}" srcOrd="0" destOrd="0" presId="urn:microsoft.com/office/officeart/2005/8/layout/process5"/>
    <dgm:cxn modelId="{D38CEDAA-F9EF-4AF3-916E-EFD48F3BD7AD}" type="presOf" srcId="{B2DA7FD3-A2A3-4415-AC52-76D444EAC454}" destId="{F08053DE-4890-4928-8C01-5878C62E78F7}" srcOrd="0" destOrd="0" presId="urn:microsoft.com/office/officeart/2005/8/layout/process5"/>
    <dgm:cxn modelId="{951EA2B2-FFF3-44DD-A61F-A352E2FF863D}" type="presOf" srcId="{4FA0EF42-9AD8-44B1-9149-66E20E61BB78}" destId="{1170A185-56B8-4766-98D5-E1E5882BB869}" srcOrd="1" destOrd="0" presId="urn:microsoft.com/office/officeart/2005/8/layout/process5"/>
    <dgm:cxn modelId="{EC8AAFB3-5AD8-49B8-87D1-EC51BF5C93B9}" srcId="{51CD9267-CD74-466A-BDBD-E64273DFB0CC}" destId="{D107D083-35E2-49B8-ACAE-A258369E63AA}" srcOrd="10" destOrd="0" parTransId="{A3119FEB-B394-4456-A301-7B3585622439}" sibTransId="{D0F1948E-5700-449B-A218-DFFA37DD4B21}"/>
    <dgm:cxn modelId="{94400EB8-62DA-4055-A853-303F6D2BA12C}" type="presOf" srcId="{E2C89D42-CFD5-4116-96F7-6B16385194F3}" destId="{B4A2442E-FAFA-473A-A28F-6CBFBF8E3792}" srcOrd="0" destOrd="0" presId="urn:microsoft.com/office/officeart/2005/8/layout/process5"/>
    <dgm:cxn modelId="{70AA18BD-FDEF-48D9-973A-84E67750025D}" type="presOf" srcId="{51CD9267-CD74-466A-BDBD-E64273DFB0CC}" destId="{DC0EAA0C-D4E1-4EDD-B2C7-BEAF51B6476D}" srcOrd="0" destOrd="0" presId="urn:microsoft.com/office/officeart/2005/8/layout/process5"/>
    <dgm:cxn modelId="{102BB3C6-F36C-4332-A838-B093682E1343}" srcId="{51CD9267-CD74-466A-BDBD-E64273DFB0CC}" destId="{EB073590-1FFB-4C20-846D-DA45788E58A5}" srcOrd="7" destOrd="0" parTransId="{CE23E824-5B4A-47E8-B77A-77AD6492859F}" sibTransId="{2421649C-A7C3-46D9-A504-A10079ECA675}"/>
    <dgm:cxn modelId="{30742BCB-DDF7-4730-86EE-929E3DD28507}" type="presOf" srcId="{D0F1948E-5700-449B-A218-DFFA37DD4B21}" destId="{BA71DFEC-2EBE-4DA0-A4C6-2FA0FFD13EA6}" srcOrd="1" destOrd="0" presId="urn:microsoft.com/office/officeart/2005/8/layout/process5"/>
    <dgm:cxn modelId="{58CE28CF-7F77-470C-8EDF-46DE2E837017}" type="presOf" srcId="{800793F0-55F4-4DDA-9D4B-4F58B917568A}" destId="{6AEFC486-1FA3-4EA6-ABD7-EBCCF4D843D8}" srcOrd="0" destOrd="0" presId="urn:microsoft.com/office/officeart/2005/8/layout/process5"/>
    <dgm:cxn modelId="{07DB46D4-AD1B-416C-896D-5366E21BB73C}" srcId="{51CD9267-CD74-466A-BDBD-E64273DFB0CC}" destId="{CA23B7F3-421E-4D48-81D6-52BCC3C557F0}" srcOrd="5" destOrd="0" parTransId="{BA7B7ACB-402E-4748-9892-37387F0CBFCD}" sibTransId="{6098FB8F-374D-4729-BC4F-BE6F85E73465}"/>
    <dgm:cxn modelId="{715002D5-F52F-42AE-8088-F73B6125D06F}" type="presOf" srcId="{6098FB8F-374D-4729-BC4F-BE6F85E73465}" destId="{41A648E1-E04A-43F7-9540-0AC15773EF7D}" srcOrd="1" destOrd="0" presId="urn:microsoft.com/office/officeart/2005/8/layout/process5"/>
    <dgm:cxn modelId="{1ABB3ED6-DC68-43D9-831C-33531A46C579}" type="presOf" srcId="{B2DA7FD3-A2A3-4415-AC52-76D444EAC454}" destId="{65142C13-91BF-4162-8FA9-876D7D917463}" srcOrd="1" destOrd="0" presId="urn:microsoft.com/office/officeart/2005/8/layout/process5"/>
    <dgm:cxn modelId="{3F5137D9-4322-482E-8DCA-8CB31698A480}" srcId="{51CD9267-CD74-466A-BDBD-E64273DFB0CC}" destId="{E781B126-6A51-42FD-A193-C813EEDA9B22}" srcOrd="8" destOrd="0" parTransId="{05F758EE-2FF2-4811-A207-9F3014BCC186}" sibTransId="{84817C68-3708-4245-B197-2C758E72ED1A}"/>
    <dgm:cxn modelId="{868D1AEC-5F55-41E4-99C9-DF86398B62CC}" type="presOf" srcId="{4FA0EF42-9AD8-44B1-9149-66E20E61BB78}" destId="{A19140E3-FA5A-48D6-8D49-12A9F8919ADC}" srcOrd="0" destOrd="0" presId="urn:microsoft.com/office/officeart/2005/8/layout/process5"/>
    <dgm:cxn modelId="{DB7CB3EE-A925-48A2-916C-5AAF349F2407}" type="presOf" srcId="{756FE31F-31E9-4591-88BF-7CCC5E2DE59D}" destId="{C46B062B-98D4-4176-83F1-50D31C57D2C7}" srcOrd="1" destOrd="0" presId="urn:microsoft.com/office/officeart/2005/8/layout/process5"/>
    <dgm:cxn modelId="{409084F0-4803-41D9-AFB2-B033E557FCC8}" type="presOf" srcId="{74736FE1-54FB-4CE9-B4DA-B4E269F08A19}" destId="{3B35EF0F-EB42-4414-BDAB-F8615F5368D3}" srcOrd="0" destOrd="0" presId="urn:microsoft.com/office/officeart/2005/8/layout/process5"/>
    <dgm:cxn modelId="{4449BEFA-E7E9-413A-B481-527B102FCC3E}" type="presOf" srcId="{2421649C-A7C3-46D9-A504-A10079ECA675}" destId="{946EB20F-7580-4D15-994E-CD153B75CF5C}" srcOrd="0" destOrd="0" presId="urn:microsoft.com/office/officeart/2005/8/layout/process5"/>
    <dgm:cxn modelId="{3F7A47FB-9A4A-4687-B558-651E8BDE7115}" type="presOf" srcId="{CA23B7F3-421E-4D48-81D6-52BCC3C557F0}" destId="{865B3EAC-508F-4DD9-AFFA-0FCE583E15BC}" srcOrd="0" destOrd="0" presId="urn:microsoft.com/office/officeart/2005/8/layout/process5"/>
    <dgm:cxn modelId="{FEC2D1FB-D2F9-4A2D-9A4A-8DC9BD70D213}" type="presOf" srcId="{736F434A-1741-4A8F-A652-0C199DB05515}" destId="{40DAF143-1604-48E3-A57E-04DD104B08A4}" srcOrd="0" destOrd="0" presId="urn:microsoft.com/office/officeart/2005/8/layout/process5"/>
    <dgm:cxn modelId="{1BA06DFC-D78E-4F5D-8E09-02A84472CBDB}" type="presOf" srcId="{E781B126-6A51-42FD-A193-C813EEDA9B22}" destId="{892969C1-7F75-4DA4-BE74-AF63A9EC4D9B}" srcOrd="0" destOrd="0" presId="urn:microsoft.com/office/officeart/2005/8/layout/process5"/>
    <dgm:cxn modelId="{D02FFEFD-BAAA-4D4A-9EFC-05B4D5E0101F}" type="presOf" srcId="{D107D083-35E2-49B8-ACAE-A258369E63AA}" destId="{FF37C8AC-22F3-4FF4-A98C-E0D3E047F527}" srcOrd="0" destOrd="0" presId="urn:microsoft.com/office/officeart/2005/8/layout/process5"/>
    <dgm:cxn modelId="{4ED80AFE-B13C-411D-876F-C70D686A9F51}" type="presOf" srcId="{D0F1948E-5700-449B-A218-DFFA37DD4B21}" destId="{753A4782-2839-41DE-A701-24A7913BE30C}" srcOrd="0" destOrd="0" presId="urn:microsoft.com/office/officeart/2005/8/layout/process5"/>
    <dgm:cxn modelId="{BFE554FE-7021-49A0-BFE6-C8DB132A2028}" type="presOf" srcId="{8D692E45-888B-416A-A00F-0EC343AF32AE}" destId="{44604B87-F586-4073-9E9A-64665BC69D25}" srcOrd="0" destOrd="0" presId="urn:microsoft.com/office/officeart/2005/8/layout/process5"/>
    <dgm:cxn modelId="{9DA2E79A-B79D-47E1-A395-1752EAAA0B14}" type="presParOf" srcId="{DC0EAA0C-D4E1-4EDD-B2C7-BEAF51B6476D}" destId="{AD75D7BA-EFB2-44F2-A516-4ABAC29955FE}" srcOrd="0" destOrd="0" presId="urn:microsoft.com/office/officeart/2005/8/layout/process5"/>
    <dgm:cxn modelId="{09CA24F5-DD50-4B06-A868-603FCF2F1CA6}" type="presParOf" srcId="{DC0EAA0C-D4E1-4EDD-B2C7-BEAF51B6476D}" destId="{B4A2442E-FAFA-473A-A28F-6CBFBF8E3792}" srcOrd="1" destOrd="0" presId="urn:microsoft.com/office/officeart/2005/8/layout/process5"/>
    <dgm:cxn modelId="{D27D631C-E3DC-44AB-B447-0A3D8B2EA326}" type="presParOf" srcId="{B4A2442E-FAFA-473A-A28F-6CBFBF8E3792}" destId="{8A757B17-2879-4FF9-94B3-951EC024AB84}" srcOrd="0" destOrd="0" presId="urn:microsoft.com/office/officeart/2005/8/layout/process5"/>
    <dgm:cxn modelId="{DF02243D-3DE4-4039-9652-238EA754AE2C}" type="presParOf" srcId="{DC0EAA0C-D4E1-4EDD-B2C7-BEAF51B6476D}" destId="{44604B87-F586-4073-9E9A-64665BC69D25}" srcOrd="2" destOrd="0" presId="urn:microsoft.com/office/officeart/2005/8/layout/process5"/>
    <dgm:cxn modelId="{940F31A8-A181-4FD4-83B4-1393194A27C8}" type="presParOf" srcId="{DC0EAA0C-D4E1-4EDD-B2C7-BEAF51B6476D}" destId="{6AEFC486-1FA3-4EA6-ABD7-EBCCF4D843D8}" srcOrd="3" destOrd="0" presId="urn:microsoft.com/office/officeart/2005/8/layout/process5"/>
    <dgm:cxn modelId="{1349049F-4343-4CBE-9EEE-091EE599899E}" type="presParOf" srcId="{6AEFC486-1FA3-4EA6-ABD7-EBCCF4D843D8}" destId="{3F577A45-5ADD-415A-8092-800C65E2BA2E}" srcOrd="0" destOrd="0" presId="urn:microsoft.com/office/officeart/2005/8/layout/process5"/>
    <dgm:cxn modelId="{F459D5F9-379D-4651-9911-4131BA907E49}" type="presParOf" srcId="{DC0EAA0C-D4E1-4EDD-B2C7-BEAF51B6476D}" destId="{0A9A3233-B3CA-4FB2-BCAB-0CF8B32D0A58}" srcOrd="4" destOrd="0" presId="urn:microsoft.com/office/officeart/2005/8/layout/process5"/>
    <dgm:cxn modelId="{49805842-9334-41DC-B74D-CA71F7DD72DD}" type="presParOf" srcId="{DC0EAA0C-D4E1-4EDD-B2C7-BEAF51B6476D}" destId="{F08053DE-4890-4928-8C01-5878C62E78F7}" srcOrd="5" destOrd="0" presId="urn:microsoft.com/office/officeart/2005/8/layout/process5"/>
    <dgm:cxn modelId="{6FC5EC64-529A-42F1-B4AD-B32F799044E4}" type="presParOf" srcId="{F08053DE-4890-4928-8C01-5878C62E78F7}" destId="{65142C13-91BF-4162-8FA9-876D7D917463}" srcOrd="0" destOrd="0" presId="urn:microsoft.com/office/officeart/2005/8/layout/process5"/>
    <dgm:cxn modelId="{15197C28-E41B-4385-ABD4-0904E145081A}" type="presParOf" srcId="{DC0EAA0C-D4E1-4EDD-B2C7-BEAF51B6476D}" destId="{F17B1705-CB0C-4B5E-B019-714183791962}" srcOrd="6" destOrd="0" presId="urn:microsoft.com/office/officeart/2005/8/layout/process5"/>
    <dgm:cxn modelId="{8A166379-30B3-4B9F-BC5C-DF672060E14D}" type="presParOf" srcId="{DC0EAA0C-D4E1-4EDD-B2C7-BEAF51B6476D}" destId="{A19140E3-FA5A-48D6-8D49-12A9F8919ADC}" srcOrd="7" destOrd="0" presId="urn:microsoft.com/office/officeart/2005/8/layout/process5"/>
    <dgm:cxn modelId="{5FADA511-BA53-48E5-B0BC-23D6392C6046}" type="presParOf" srcId="{A19140E3-FA5A-48D6-8D49-12A9F8919ADC}" destId="{1170A185-56B8-4766-98D5-E1E5882BB869}" srcOrd="0" destOrd="0" presId="urn:microsoft.com/office/officeart/2005/8/layout/process5"/>
    <dgm:cxn modelId="{44A96A63-D2D5-4D7E-AEED-11C077AB713A}" type="presParOf" srcId="{DC0EAA0C-D4E1-4EDD-B2C7-BEAF51B6476D}" destId="{49D0D488-80FA-4F2E-96DA-10A358313F17}" srcOrd="8" destOrd="0" presId="urn:microsoft.com/office/officeart/2005/8/layout/process5"/>
    <dgm:cxn modelId="{35223FD9-94DC-4BC7-85D3-2AE30185C4DC}" type="presParOf" srcId="{DC0EAA0C-D4E1-4EDD-B2C7-BEAF51B6476D}" destId="{3B35EF0F-EB42-4414-BDAB-F8615F5368D3}" srcOrd="9" destOrd="0" presId="urn:microsoft.com/office/officeart/2005/8/layout/process5"/>
    <dgm:cxn modelId="{0CCB8E2F-D1DC-4003-AAB1-DC89DB8370FD}" type="presParOf" srcId="{3B35EF0F-EB42-4414-BDAB-F8615F5368D3}" destId="{8AE6E641-1347-477E-AB85-EDC803961DFA}" srcOrd="0" destOrd="0" presId="urn:microsoft.com/office/officeart/2005/8/layout/process5"/>
    <dgm:cxn modelId="{625EE3AE-0649-4A1B-8D10-E103EE91C0E9}" type="presParOf" srcId="{DC0EAA0C-D4E1-4EDD-B2C7-BEAF51B6476D}" destId="{865B3EAC-508F-4DD9-AFFA-0FCE583E15BC}" srcOrd="10" destOrd="0" presId="urn:microsoft.com/office/officeart/2005/8/layout/process5"/>
    <dgm:cxn modelId="{AF2445CD-3118-4B93-8EB9-149470FBBF6E}" type="presParOf" srcId="{DC0EAA0C-D4E1-4EDD-B2C7-BEAF51B6476D}" destId="{85A1821D-26F5-41DA-B137-722A495C112A}" srcOrd="11" destOrd="0" presId="urn:microsoft.com/office/officeart/2005/8/layout/process5"/>
    <dgm:cxn modelId="{95B5B9AB-5A0D-400F-AF11-97FB92920E77}" type="presParOf" srcId="{85A1821D-26F5-41DA-B137-722A495C112A}" destId="{41A648E1-E04A-43F7-9540-0AC15773EF7D}" srcOrd="0" destOrd="0" presId="urn:microsoft.com/office/officeart/2005/8/layout/process5"/>
    <dgm:cxn modelId="{DB5DFF10-745E-4EEF-8DD8-BD1556C49EFA}" type="presParOf" srcId="{DC0EAA0C-D4E1-4EDD-B2C7-BEAF51B6476D}" destId="{0449F9EA-3484-4E7B-B27C-410914E11F2C}" srcOrd="12" destOrd="0" presId="urn:microsoft.com/office/officeart/2005/8/layout/process5"/>
    <dgm:cxn modelId="{B573DF9B-4094-4B62-99BC-538549FDE46B}" type="presParOf" srcId="{DC0EAA0C-D4E1-4EDD-B2C7-BEAF51B6476D}" destId="{2DA6D47A-94EC-459A-A3F3-38D7BF105575}" srcOrd="13" destOrd="0" presId="urn:microsoft.com/office/officeart/2005/8/layout/process5"/>
    <dgm:cxn modelId="{8E3A32A4-3173-4B7E-BA03-148AE0828DBF}" type="presParOf" srcId="{2DA6D47A-94EC-459A-A3F3-38D7BF105575}" destId="{C46B062B-98D4-4176-83F1-50D31C57D2C7}" srcOrd="0" destOrd="0" presId="urn:microsoft.com/office/officeart/2005/8/layout/process5"/>
    <dgm:cxn modelId="{5EF88BB1-7E42-4D80-87E4-5883C4937352}" type="presParOf" srcId="{DC0EAA0C-D4E1-4EDD-B2C7-BEAF51B6476D}" destId="{BA6E9357-C493-4548-9AC5-609BF44F0028}" srcOrd="14" destOrd="0" presId="urn:microsoft.com/office/officeart/2005/8/layout/process5"/>
    <dgm:cxn modelId="{62A80170-7F2D-439E-A9B8-6714A2C90EA1}" type="presParOf" srcId="{DC0EAA0C-D4E1-4EDD-B2C7-BEAF51B6476D}" destId="{946EB20F-7580-4D15-994E-CD153B75CF5C}" srcOrd="15" destOrd="0" presId="urn:microsoft.com/office/officeart/2005/8/layout/process5"/>
    <dgm:cxn modelId="{14DDDB35-C9F3-494E-965B-3F29E7D036CF}" type="presParOf" srcId="{946EB20F-7580-4D15-994E-CD153B75CF5C}" destId="{14E0E57F-7224-4DD6-B88D-9D8E46362C26}" srcOrd="0" destOrd="0" presId="urn:microsoft.com/office/officeart/2005/8/layout/process5"/>
    <dgm:cxn modelId="{32E549D9-75BC-449F-95C0-45E8B26807FC}" type="presParOf" srcId="{DC0EAA0C-D4E1-4EDD-B2C7-BEAF51B6476D}" destId="{892969C1-7F75-4DA4-BE74-AF63A9EC4D9B}" srcOrd="16" destOrd="0" presId="urn:microsoft.com/office/officeart/2005/8/layout/process5"/>
    <dgm:cxn modelId="{0B63E2FE-A1A8-4135-A890-2FCA27730945}" type="presParOf" srcId="{DC0EAA0C-D4E1-4EDD-B2C7-BEAF51B6476D}" destId="{D60D7558-E70E-4424-A975-65336673B31A}" srcOrd="17" destOrd="0" presId="urn:microsoft.com/office/officeart/2005/8/layout/process5"/>
    <dgm:cxn modelId="{B7CD08F5-5860-4D8E-AFCB-3690F0381BE2}" type="presParOf" srcId="{D60D7558-E70E-4424-A975-65336673B31A}" destId="{613DBBD5-7DC0-43ED-AA1B-D429C3DB1BDF}" srcOrd="0" destOrd="0" presId="urn:microsoft.com/office/officeart/2005/8/layout/process5"/>
    <dgm:cxn modelId="{F0F0006B-D51A-4B88-9DF4-AEAD33D982E4}" type="presParOf" srcId="{DC0EAA0C-D4E1-4EDD-B2C7-BEAF51B6476D}" destId="{0EB580C1-D30B-4446-9399-40D1344A6B26}" srcOrd="18" destOrd="0" presId="urn:microsoft.com/office/officeart/2005/8/layout/process5"/>
    <dgm:cxn modelId="{983EA86C-552B-4624-B88A-5300E15A1DF3}" type="presParOf" srcId="{DC0EAA0C-D4E1-4EDD-B2C7-BEAF51B6476D}" destId="{40DAF143-1604-48E3-A57E-04DD104B08A4}" srcOrd="19" destOrd="0" presId="urn:microsoft.com/office/officeart/2005/8/layout/process5"/>
    <dgm:cxn modelId="{E0CECBA8-FAB5-4C43-9BF5-ABDD5855FE40}" type="presParOf" srcId="{40DAF143-1604-48E3-A57E-04DD104B08A4}" destId="{7E2C77EA-C59D-4F24-A42A-91ED77919921}" srcOrd="0" destOrd="0" presId="urn:microsoft.com/office/officeart/2005/8/layout/process5"/>
    <dgm:cxn modelId="{A0E7B961-46E1-4247-8A5B-2C4041C1B90B}" type="presParOf" srcId="{DC0EAA0C-D4E1-4EDD-B2C7-BEAF51B6476D}" destId="{FF37C8AC-22F3-4FF4-A98C-E0D3E047F527}" srcOrd="20" destOrd="0" presId="urn:microsoft.com/office/officeart/2005/8/layout/process5"/>
    <dgm:cxn modelId="{7D44DF16-B71B-4460-AD1B-A905994F9A46}" type="presParOf" srcId="{DC0EAA0C-D4E1-4EDD-B2C7-BEAF51B6476D}" destId="{753A4782-2839-41DE-A701-24A7913BE30C}" srcOrd="21" destOrd="0" presId="urn:microsoft.com/office/officeart/2005/8/layout/process5"/>
    <dgm:cxn modelId="{A9A1F7A6-499C-4889-894C-41C22C92E37C}" type="presParOf" srcId="{753A4782-2839-41DE-A701-24A7913BE30C}" destId="{BA71DFEC-2EBE-4DA0-A4C6-2FA0FFD13EA6}" srcOrd="0" destOrd="0" presId="urn:microsoft.com/office/officeart/2005/8/layout/process5"/>
    <dgm:cxn modelId="{2DC94754-FC0E-44E7-9778-0C663EB8D908}" type="presParOf" srcId="{DC0EAA0C-D4E1-4EDD-B2C7-BEAF51B6476D}" destId="{549B057C-0278-4B5C-B179-823B76D2D83A}" srcOrd="22" destOrd="0" presId="urn:microsoft.com/office/officeart/2005/8/layout/process5"/>
  </dgm:cxnLst>
  <dgm:bg/>
  <dgm:whole/>
  <dgm:extLst>
    <a:ext uri="http://schemas.microsoft.com/office/drawing/2008/diagram">
      <dsp:dataModelExt xmlns:dsp="http://schemas.microsoft.com/office/drawing/2008/diagram" relId="rId6" minVer="http://schemas.openxmlformats.org/drawingml/2006/diagram"/>
    </a:ext>
  </dgm:extLst>
</dgm:dataModel>
</file>

<file path=xl/diagrams/data2.xml><?xml version="1.0" encoding="utf-8"?>
<dgm:dataModel xmlns:dgm="http://schemas.openxmlformats.org/drawingml/2006/diagram" xmlns:a="http://schemas.openxmlformats.org/drawingml/2006/main">
  <dgm:ptLst>
    <dgm:pt modelId="{614D3ACD-7CC7-40CD-B7BF-A409A10A0218}" type="doc">
      <dgm:prSet loTypeId="urn:microsoft.com/office/officeart/2005/8/layout/chevron1" loCatId="process" qsTypeId="urn:microsoft.com/office/officeart/2005/8/quickstyle/3d2" qsCatId="3D" csTypeId="urn:microsoft.com/office/officeart/2005/8/colors/colorful1" csCatId="colorful" phldr="1"/>
      <dgm:spPr>
        <a:scene3d>
          <a:camera prst="orthographicFront">
            <a:rot lat="0" lon="0" rev="0"/>
          </a:camera>
          <a:lightRig rig="contrasting" dir="t">
            <a:rot lat="0" lon="0" rev="1500000"/>
          </a:lightRig>
        </a:scene3d>
      </dgm:spPr>
    </dgm:pt>
    <dgm:pt modelId="{58C6B983-457E-47DD-9891-094FC4D40E1D}">
      <dgm:prSet phldrT="[Teksti]" custT="1"/>
      <dgm:spPr>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dgm:spPr>
      <dgm:t>
        <a:bodyPr/>
        <a:lstStyle/>
        <a:p>
          <a:r>
            <a:rPr lang="fi-FI" sz="1200"/>
            <a:t>Kotieläin-tuotanto</a:t>
          </a:r>
          <a:endParaRPr lang="fi-FI" sz="1400"/>
        </a:p>
      </dgm:t>
    </dgm:pt>
    <dgm:pt modelId="{A6CA9733-AABF-4065-9E16-B051E2A73304}" type="parTrans" cxnId="{BD4F3844-2D00-4F18-99B9-901786C4604A}">
      <dgm:prSet/>
      <dgm:spPr/>
      <dgm:t>
        <a:bodyPr/>
        <a:lstStyle/>
        <a:p>
          <a:endParaRPr lang="fi-FI"/>
        </a:p>
      </dgm:t>
    </dgm:pt>
    <dgm:pt modelId="{AC2E4671-4057-4F2B-B723-26FE592E82B7}" type="sibTrans" cxnId="{BD4F3844-2D00-4F18-99B9-901786C4604A}">
      <dgm:prSet/>
      <dgm:spPr/>
      <dgm:t>
        <a:bodyPr/>
        <a:lstStyle/>
        <a:p>
          <a:endParaRPr lang="fi-FI"/>
        </a:p>
      </dgm:t>
    </dgm:pt>
    <dgm:pt modelId="{5737FD2B-18FB-408E-9726-0BDA31E6E4D4}">
      <dgm:prSet phldrT="[Teksti]"/>
      <dgm:spPr>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dgm:spPr>
      <dgm:t>
        <a:bodyPr/>
        <a:lstStyle/>
        <a:p>
          <a:r>
            <a:rPr lang="fi-FI"/>
            <a:t>Tuotos</a:t>
          </a:r>
        </a:p>
      </dgm:t>
    </dgm:pt>
    <dgm:pt modelId="{3BBAF81B-8266-42E4-80BC-D56ECF930EAE}" type="parTrans" cxnId="{BE51F956-6653-4374-B740-1B27659A89D9}">
      <dgm:prSet/>
      <dgm:spPr/>
      <dgm:t>
        <a:bodyPr/>
        <a:lstStyle/>
        <a:p>
          <a:endParaRPr lang="fi-FI"/>
        </a:p>
      </dgm:t>
    </dgm:pt>
    <dgm:pt modelId="{8E99C597-E508-4642-80C4-379A26A81F15}" type="sibTrans" cxnId="{BE51F956-6653-4374-B740-1B27659A89D9}">
      <dgm:prSet/>
      <dgm:spPr/>
      <dgm:t>
        <a:bodyPr/>
        <a:lstStyle/>
        <a:p>
          <a:endParaRPr lang="fi-FI"/>
        </a:p>
      </dgm:t>
    </dgm:pt>
    <dgm:pt modelId="{A69E0EFE-BF8B-4871-B4EF-1E1862537C88}">
      <dgm:prSet phldrT="[Teksti]"/>
      <dgm:spPr>
        <a:solidFill>
          <a:schemeClr val="accent4">
            <a:lumMod val="75000"/>
          </a:schemeClr>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dgm:spPr>
      <dgm:t>
        <a:bodyPr/>
        <a:lstStyle/>
        <a:p>
          <a:r>
            <a:rPr lang="fi-FI"/>
            <a:t>Myynnit</a:t>
          </a:r>
        </a:p>
      </dgm:t>
    </dgm:pt>
    <dgm:pt modelId="{AED5AF14-68F6-49B1-BD58-EAA6CB729A16}" type="parTrans" cxnId="{67CDFE5B-913E-4DB4-9F14-94DA94E5642D}">
      <dgm:prSet/>
      <dgm:spPr/>
      <dgm:t>
        <a:bodyPr/>
        <a:lstStyle/>
        <a:p>
          <a:endParaRPr lang="fi-FI"/>
        </a:p>
      </dgm:t>
    </dgm:pt>
    <dgm:pt modelId="{873D43A1-7FE0-4A9D-8D37-E92ED4BA91B8}" type="sibTrans" cxnId="{67CDFE5B-913E-4DB4-9F14-94DA94E5642D}">
      <dgm:prSet/>
      <dgm:spPr/>
      <dgm:t>
        <a:bodyPr/>
        <a:lstStyle/>
        <a:p>
          <a:endParaRPr lang="fi-FI"/>
        </a:p>
      </dgm:t>
    </dgm:pt>
    <dgm:pt modelId="{F4BB2450-FEC4-4775-AE7A-942EE6A23A79}">
      <dgm:prSet phldrT="[Teksti]"/>
      <dgm:spPr>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dgm:spPr>
      <dgm:t>
        <a:bodyPr/>
        <a:lstStyle/>
        <a:p>
          <a:r>
            <a:rPr lang="fi-FI"/>
            <a:t>Tuet</a:t>
          </a:r>
        </a:p>
      </dgm:t>
    </dgm:pt>
    <dgm:pt modelId="{DEF8A282-E3E8-4902-9882-427FE4A15435}" type="parTrans" cxnId="{D11C955B-AD09-4ADE-B277-35829FD08EE0}">
      <dgm:prSet/>
      <dgm:spPr/>
      <dgm:t>
        <a:bodyPr/>
        <a:lstStyle/>
        <a:p>
          <a:endParaRPr lang="fi-FI"/>
        </a:p>
      </dgm:t>
    </dgm:pt>
    <dgm:pt modelId="{5E14730C-B1BC-46E1-B4B3-8F5C23343B4D}" type="sibTrans" cxnId="{D11C955B-AD09-4ADE-B277-35829FD08EE0}">
      <dgm:prSet/>
      <dgm:spPr/>
      <dgm:t>
        <a:bodyPr/>
        <a:lstStyle/>
        <a:p>
          <a:endParaRPr lang="fi-FI"/>
        </a:p>
      </dgm:t>
    </dgm:pt>
    <dgm:pt modelId="{546FC8DB-10D7-4EF5-BB7E-D39C53C81F11}">
      <dgm:prSet phldrT="[Teksti]"/>
      <dgm:spPr>
        <a:solidFill>
          <a:schemeClr val="tx2">
            <a:lumMod val="60000"/>
            <a:lumOff val="40000"/>
          </a:schemeClr>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dgm:spPr>
      <dgm:t>
        <a:bodyPr/>
        <a:lstStyle/>
        <a:p>
          <a:r>
            <a:rPr lang="fi-FI"/>
            <a:t>Uudistus</a:t>
          </a:r>
        </a:p>
      </dgm:t>
    </dgm:pt>
    <dgm:pt modelId="{BD92ECA6-EC8B-40C7-B198-9AA59D274228}" type="parTrans" cxnId="{D22B99BB-1099-463F-935D-1F474B3DB97C}">
      <dgm:prSet/>
      <dgm:spPr/>
      <dgm:t>
        <a:bodyPr/>
        <a:lstStyle/>
        <a:p>
          <a:endParaRPr lang="fi-FI"/>
        </a:p>
      </dgm:t>
    </dgm:pt>
    <dgm:pt modelId="{E59642FC-B9E6-4E11-B5F7-CC620DF1FF1D}" type="sibTrans" cxnId="{D22B99BB-1099-463F-935D-1F474B3DB97C}">
      <dgm:prSet/>
      <dgm:spPr/>
      <dgm:t>
        <a:bodyPr/>
        <a:lstStyle/>
        <a:p>
          <a:endParaRPr lang="fi-FI"/>
        </a:p>
      </dgm:t>
    </dgm:pt>
    <dgm:pt modelId="{1C2BBD74-12A6-47BB-95AC-574D992B3876}">
      <dgm:prSet phldrT="[Teksti]"/>
      <dgm:spPr>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dgm:spPr>
      <dgm:t>
        <a:bodyPr/>
        <a:lstStyle/>
        <a:p>
          <a:r>
            <a:rPr lang="fi-FI"/>
            <a:t>Kasvatusaika</a:t>
          </a:r>
        </a:p>
      </dgm:t>
    </dgm:pt>
    <dgm:pt modelId="{5329FE44-5173-4828-B734-070F22008AF6}" type="parTrans" cxnId="{01FACA6E-7564-494F-B873-B26A142CDB39}">
      <dgm:prSet/>
      <dgm:spPr/>
      <dgm:t>
        <a:bodyPr/>
        <a:lstStyle/>
        <a:p>
          <a:endParaRPr lang="fi-FI"/>
        </a:p>
      </dgm:t>
    </dgm:pt>
    <dgm:pt modelId="{2D513E07-2C80-4BB0-A654-7357A23C13D5}" type="sibTrans" cxnId="{01FACA6E-7564-494F-B873-B26A142CDB39}">
      <dgm:prSet/>
      <dgm:spPr/>
      <dgm:t>
        <a:bodyPr/>
        <a:lstStyle/>
        <a:p>
          <a:endParaRPr lang="fi-FI"/>
        </a:p>
      </dgm:t>
    </dgm:pt>
    <dgm:pt modelId="{C7B7C0EC-F575-46E7-B353-8477EE5CB799}">
      <dgm:prSet phldrT="[Teksti]"/>
      <dgm:spPr>
        <a:solidFill>
          <a:schemeClr val="accent3">
            <a:lumMod val="75000"/>
          </a:schemeClr>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dgm:spPr>
      <dgm:t>
        <a:bodyPr/>
        <a:lstStyle/>
        <a:p>
          <a:r>
            <a:rPr lang="fi-FI"/>
            <a:t>Ostopanokset</a:t>
          </a:r>
        </a:p>
      </dgm:t>
    </dgm:pt>
    <dgm:pt modelId="{35ED083C-01EB-45AB-AC81-66275E064D27}" type="parTrans" cxnId="{027BA6CD-8FCC-4936-9245-AFFDE5366EB0}">
      <dgm:prSet/>
      <dgm:spPr/>
      <dgm:t>
        <a:bodyPr/>
        <a:lstStyle/>
        <a:p>
          <a:endParaRPr lang="fi-FI"/>
        </a:p>
      </dgm:t>
    </dgm:pt>
    <dgm:pt modelId="{15CC3D70-9011-462B-84CA-AD70D0A7D379}" type="sibTrans" cxnId="{027BA6CD-8FCC-4936-9245-AFFDE5366EB0}">
      <dgm:prSet/>
      <dgm:spPr/>
      <dgm:t>
        <a:bodyPr/>
        <a:lstStyle/>
        <a:p>
          <a:endParaRPr lang="fi-FI"/>
        </a:p>
      </dgm:t>
    </dgm:pt>
    <dgm:pt modelId="{61AB0553-877A-423A-8C20-1C9487AB9778}">
      <dgm:prSet phldrT="[Teksti]"/>
      <dgm:spPr>
        <a:solidFill>
          <a:schemeClr val="tx2">
            <a:lumMod val="75000"/>
          </a:schemeClr>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dgm:spPr>
      <dgm:t>
        <a:bodyPr/>
        <a:lstStyle/>
        <a:p>
          <a:r>
            <a:rPr lang="fi-FI"/>
            <a:t>Investoinnit</a:t>
          </a:r>
        </a:p>
      </dgm:t>
    </dgm:pt>
    <dgm:pt modelId="{84CDEE21-5F6E-43A1-9EC6-F336A2EA4A7F}" type="parTrans" cxnId="{813A3B77-2269-4C3F-899E-3A7F05E4C686}">
      <dgm:prSet/>
      <dgm:spPr/>
      <dgm:t>
        <a:bodyPr/>
        <a:lstStyle/>
        <a:p>
          <a:endParaRPr lang="fi-FI"/>
        </a:p>
      </dgm:t>
    </dgm:pt>
    <dgm:pt modelId="{69BF0EA6-5CC9-4436-BDE6-A74266A5010D}" type="sibTrans" cxnId="{813A3B77-2269-4C3F-899E-3A7F05E4C686}">
      <dgm:prSet/>
      <dgm:spPr/>
      <dgm:t>
        <a:bodyPr/>
        <a:lstStyle/>
        <a:p>
          <a:endParaRPr lang="fi-FI"/>
        </a:p>
      </dgm:t>
    </dgm:pt>
    <dgm:pt modelId="{35FBB659-8F20-4A0E-A253-ACD02C84DF63}">
      <dgm:prSet phldrT="[Teksti]"/>
      <dgm:spPr>
        <a:solidFill>
          <a:schemeClr val="accent5">
            <a:lumMod val="60000"/>
            <a:lumOff val="40000"/>
          </a:schemeClr>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dgm:spPr>
      <dgm:t>
        <a:bodyPr/>
        <a:lstStyle/>
        <a:p>
          <a:r>
            <a:rPr lang="fi-FI"/>
            <a:t>Kustannusten jako</a:t>
          </a:r>
        </a:p>
      </dgm:t>
    </dgm:pt>
    <dgm:pt modelId="{1155E32D-60E7-4A55-B41E-15376C80BEAD}" type="parTrans" cxnId="{8C422DEF-34AC-413E-B496-D159D674307E}">
      <dgm:prSet/>
      <dgm:spPr/>
      <dgm:t>
        <a:bodyPr/>
        <a:lstStyle/>
        <a:p>
          <a:endParaRPr lang="fi-FI"/>
        </a:p>
      </dgm:t>
    </dgm:pt>
    <dgm:pt modelId="{5D9C32C9-9FC7-4904-9680-D6EA6F95FC11}" type="sibTrans" cxnId="{8C422DEF-34AC-413E-B496-D159D674307E}">
      <dgm:prSet/>
      <dgm:spPr/>
      <dgm:t>
        <a:bodyPr/>
        <a:lstStyle/>
        <a:p>
          <a:endParaRPr lang="fi-FI"/>
        </a:p>
      </dgm:t>
    </dgm:pt>
    <dgm:pt modelId="{773B5F76-8854-49EE-9DF5-4D1CD06F324C}">
      <dgm:prSet phldrT="[Teksti]"/>
      <dgm:spPr>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dgm:spPr>
      <dgm:t>
        <a:bodyPr/>
        <a:lstStyle/>
        <a:p>
          <a:r>
            <a:rPr lang="fi-FI"/>
            <a:t>Pohdi kannattavuutta</a:t>
          </a:r>
        </a:p>
      </dgm:t>
    </dgm:pt>
    <dgm:pt modelId="{0ABBCED9-B98C-4DA4-A00B-64FF42CC8DD8}" type="parTrans" cxnId="{B415C700-5F7B-4087-8C2D-69D8DA56E49C}">
      <dgm:prSet/>
      <dgm:spPr/>
      <dgm:t>
        <a:bodyPr/>
        <a:lstStyle/>
        <a:p>
          <a:endParaRPr lang="fi-FI"/>
        </a:p>
      </dgm:t>
    </dgm:pt>
    <dgm:pt modelId="{849E2534-29D1-4C36-9296-54F2C8BE78E5}" type="sibTrans" cxnId="{B415C700-5F7B-4087-8C2D-69D8DA56E49C}">
      <dgm:prSet/>
      <dgm:spPr/>
      <dgm:t>
        <a:bodyPr/>
        <a:lstStyle/>
        <a:p>
          <a:endParaRPr lang="fi-FI"/>
        </a:p>
      </dgm:t>
    </dgm:pt>
    <dgm:pt modelId="{9E919EF1-59A4-4D92-9EAA-B9C519B71E95}">
      <dgm:prSet phldrT="[Teksti]"/>
      <dgm:spPr>
        <a:solidFill>
          <a:schemeClr val="bg2">
            <a:lumMod val="50000"/>
          </a:schemeClr>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dgm:spPr>
      <dgm:t>
        <a:bodyPr/>
        <a:lstStyle/>
        <a:p>
          <a:r>
            <a:rPr lang="fi-FI"/>
            <a:t>Työmäärä</a:t>
          </a:r>
        </a:p>
      </dgm:t>
    </dgm:pt>
    <dgm:pt modelId="{85BEAE6F-1F75-477A-9729-229C916B50AE}" type="parTrans" cxnId="{17265395-7306-4EE2-9459-DC93E27A33E1}">
      <dgm:prSet/>
      <dgm:spPr/>
      <dgm:t>
        <a:bodyPr/>
        <a:lstStyle/>
        <a:p>
          <a:endParaRPr lang="fi-FI"/>
        </a:p>
      </dgm:t>
    </dgm:pt>
    <dgm:pt modelId="{05E7B862-5177-4AF8-B98A-D085AFCA57FA}" type="sibTrans" cxnId="{17265395-7306-4EE2-9459-DC93E27A33E1}">
      <dgm:prSet/>
      <dgm:spPr/>
      <dgm:t>
        <a:bodyPr/>
        <a:lstStyle/>
        <a:p>
          <a:endParaRPr lang="fi-FI"/>
        </a:p>
      </dgm:t>
    </dgm:pt>
    <dgm:pt modelId="{84158AD1-BC96-4EDF-9562-DE1CA02AC8DC}" type="pres">
      <dgm:prSet presAssocID="{614D3ACD-7CC7-40CD-B7BF-A409A10A0218}" presName="Name0" presStyleCnt="0">
        <dgm:presLayoutVars>
          <dgm:dir/>
          <dgm:animLvl val="lvl"/>
          <dgm:resizeHandles val="exact"/>
        </dgm:presLayoutVars>
      </dgm:prSet>
      <dgm:spPr/>
    </dgm:pt>
    <dgm:pt modelId="{7DB9AC84-E5FD-42AD-AE93-E5BC46B6501A}" type="pres">
      <dgm:prSet presAssocID="{58C6B983-457E-47DD-9891-094FC4D40E1D}" presName="parTxOnly" presStyleLbl="node1" presStyleIdx="0" presStyleCnt="11">
        <dgm:presLayoutVars>
          <dgm:chMax val="0"/>
          <dgm:chPref val="0"/>
          <dgm:bulletEnabled val="1"/>
        </dgm:presLayoutVars>
      </dgm:prSet>
      <dgm:spPr/>
    </dgm:pt>
    <dgm:pt modelId="{FE6FCF7B-6DE1-4A7F-B3B6-4392550C156A}" type="pres">
      <dgm:prSet presAssocID="{AC2E4671-4057-4F2B-B723-26FE592E82B7}" presName="parTxOnlySpace" presStyleCnt="0"/>
      <dgm:spPr>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dgm:spPr>
    </dgm:pt>
    <dgm:pt modelId="{059B3364-FE5F-438E-90DD-48D5E8D20778}" type="pres">
      <dgm:prSet presAssocID="{5737FD2B-18FB-408E-9726-0BDA31E6E4D4}" presName="parTxOnly" presStyleLbl="node1" presStyleIdx="1" presStyleCnt="11">
        <dgm:presLayoutVars>
          <dgm:chMax val="0"/>
          <dgm:chPref val="0"/>
          <dgm:bulletEnabled val="1"/>
        </dgm:presLayoutVars>
      </dgm:prSet>
      <dgm:spPr/>
    </dgm:pt>
    <dgm:pt modelId="{AFA0561B-D346-43CC-BCF2-99E5535FF55A}" type="pres">
      <dgm:prSet presAssocID="{8E99C597-E508-4642-80C4-379A26A81F15}" presName="parTxOnlySpace" presStyleCnt="0"/>
      <dgm:spPr>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dgm:spPr>
    </dgm:pt>
    <dgm:pt modelId="{50D9883B-63AE-4BFD-BD55-342AF101025D}" type="pres">
      <dgm:prSet presAssocID="{A69E0EFE-BF8B-4871-B4EF-1E1862537C88}" presName="parTxOnly" presStyleLbl="node1" presStyleIdx="2" presStyleCnt="11">
        <dgm:presLayoutVars>
          <dgm:chMax val="0"/>
          <dgm:chPref val="0"/>
          <dgm:bulletEnabled val="1"/>
        </dgm:presLayoutVars>
      </dgm:prSet>
      <dgm:spPr/>
    </dgm:pt>
    <dgm:pt modelId="{B2B174E2-7F3D-43EA-A156-95F807182F39}" type="pres">
      <dgm:prSet presAssocID="{873D43A1-7FE0-4A9D-8D37-E92ED4BA91B8}" presName="parTxOnlySpace" presStyleCnt="0"/>
      <dgm:spPr>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dgm:spPr>
    </dgm:pt>
    <dgm:pt modelId="{8654D0BD-D9D2-4212-B05A-DBB593DE2A13}" type="pres">
      <dgm:prSet presAssocID="{F4BB2450-FEC4-4775-AE7A-942EE6A23A79}" presName="parTxOnly" presStyleLbl="node1" presStyleIdx="3" presStyleCnt="11">
        <dgm:presLayoutVars>
          <dgm:chMax val="0"/>
          <dgm:chPref val="0"/>
          <dgm:bulletEnabled val="1"/>
        </dgm:presLayoutVars>
      </dgm:prSet>
      <dgm:spPr/>
    </dgm:pt>
    <dgm:pt modelId="{57AC123C-D42C-4A4A-AE87-D2C78BC9F2C1}" type="pres">
      <dgm:prSet presAssocID="{5E14730C-B1BC-46E1-B4B3-8F5C23343B4D}" presName="parTxOnlySpace" presStyleCnt="0"/>
      <dgm:spPr>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dgm:spPr>
    </dgm:pt>
    <dgm:pt modelId="{5BF75EDC-9AF4-4D77-B8D1-20FEEEC2F0D8}" type="pres">
      <dgm:prSet presAssocID="{546FC8DB-10D7-4EF5-BB7E-D39C53C81F11}" presName="parTxOnly" presStyleLbl="node1" presStyleIdx="4" presStyleCnt="11">
        <dgm:presLayoutVars>
          <dgm:chMax val="0"/>
          <dgm:chPref val="0"/>
          <dgm:bulletEnabled val="1"/>
        </dgm:presLayoutVars>
      </dgm:prSet>
      <dgm:spPr/>
    </dgm:pt>
    <dgm:pt modelId="{F64A9D78-1A97-4022-A896-2E8D99C8BDF3}" type="pres">
      <dgm:prSet presAssocID="{E59642FC-B9E6-4E11-B5F7-CC620DF1FF1D}" presName="parTxOnlySpace" presStyleCnt="0"/>
      <dgm:spPr>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dgm:spPr>
    </dgm:pt>
    <dgm:pt modelId="{0C9E00E5-616A-4DD3-A6CC-09BB5C59066D}" type="pres">
      <dgm:prSet presAssocID="{1C2BBD74-12A6-47BB-95AC-574D992B3876}" presName="parTxOnly" presStyleLbl="node1" presStyleIdx="5" presStyleCnt="11">
        <dgm:presLayoutVars>
          <dgm:chMax val="0"/>
          <dgm:chPref val="0"/>
          <dgm:bulletEnabled val="1"/>
        </dgm:presLayoutVars>
      </dgm:prSet>
      <dgm:spPr/>
    </dgm:pt>
    <dgm:pt modelId="{8019CD82-11EC-4CEC-9E4D-DCCD6495691F}" type="pres">
      <dgm:prSet presAssocID="{2D513E07-2C80-4BB0-A654-7357A23C13D5}" presName="parTxOnlySpace" presStyleCnt="0"/>
      <dgm:spPr>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dgm:spPr>
    </dgm:pt>
    <dgm:pt modelId="{B5FE3C45-50DE-41C0-8FAA-91103FD96714}" type="pres">
      <dgm:prSet presAssocID="{C7B7C0EC-F575-46E7-B353-8477EE5CB799}" presName="parTxOnly" presStyleLbl="node1" presStyleIdx="6" presStyleCnt="11">
        <dgm:presLayoutVars>
          <dgm:chMax val="0"/>
          <dgm:chPref val="0"/>
          <dgm:bulletEnabled val="1"/>
        </dgm:presLayoutVars>
      </dgm:prSet>
      <dgm:spPr/>
    </dgm:pt>
    <dgm:pt modelId="{D7152A5D-5274-49B5-A0A6-646A29593D56}" type="pres">
      <dgm:prSet presAssocID="{15CC3D70-9011-462B-84CA-AD70D0A7D379}" presName="parTxOnlySpace" presStyleCnt="0"/>
      <dgm:spPr>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dgm:spPr>
    </dgm:pt>
    <dgm:pt modelId="{B25165D8-1DF1-4817-981B-4ABE9D7F2D92}" type="pres">
      <dgm:prSet presAssocID="{9E919EF1-59A4-4D92-9EAA-B9C519B71E95}" presName="parTxOnly" presStyleLbl="node1" presStyleIdx="7" presStyleCnt="11">
        <dgm:presLayoutVars>
          <dgm:chMax val="0"/>
          <dgm:chPref val="0"/>
          <dgm:bulletEnabled val="1"/>
        </dgm:presLayoutVars>
      </dgm:prSet>
      <dgm:spPr/>
    </dgm:pt>
    <dgm:pt modelId="{73BF7690-1AE9-44D2-B4ED-E8F9FED212B2}" type="pres">
      <dgm:prSet presAssocID="{05E7B862-5177-4AF8-B98A-D085AFCA57FA}" presName="parTxOnlySpace" presStyleCnt="0"/>
      <dgm:spPr>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dgm:spPr>
    </dgm:pt>
    <dgm:pt modelId="{8B921E4B-7BB9-43B7-A20F-4219100A6314}" type="pres">
      <dgm:prSet presAssocID="{61AB0553-877A-423A-8C20-1C9487AB9778}" presName="parTxOnly" presStyleLbl="node1" presStyleIdx="8" presStyleCnt="11">
        <dgm:presLayoutVars>
          <dgm:chMax val="0"/>
          <dgm:chPref val="0"/>
          <dgm:bulletEnabled val="1"/>
        </dgm:presLayoutVars>
      </dgm:prSet>
      <dgm:spPr/>
    </dgm:pt>
    <dgm:pt modelId="{7E980CDF-8D75-4D59-9115-A3CE2BE3AFC4}" type="pres">
      <dgm:prSet presAssocID="{69BF0EA6-5CC9-4436-BDE6-A74266A5010D}" presName="parTxOnlySpace" presStyleCnt="0"/>
      <dgm:spPr>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dgm:spPr>
    </dgm:pt>
    <dgm:pt modelId="{0043EA8E-E4EB-46EC-9757-9BF293B05FB3}" type="pres">
      <dgm:prSet presAssocID="{35FBB659-8F20-4A0E-A253-ACD02C84DF63}" presName="parTxOnly" presStyleLbl="node1" presStyleIdx="9" presStyleCnt="11">
        <dgm:presLayoutVars>
          <dgm:chMax val="0"/>
          <dgm:chPref val="0"/>
          <dgm:bulletEnabled val="1"/>
        </dgm:presLayoutVars>
      </dgm:prSet>
      <dgm:spPr/>
    </dgm:pt>
    <dgm:pt modelId="{22EB5CE5-F4DB-4F2B-A33A-F5935D38FF10}" type="pres">
      <dgm:prSet presAssocID="{5D9C32C9-9FC7-4904-9680-D6EA6F95FC11}" presName="parTxOnlySpace" presStyleCnt="0"/>
      <dgm:spPr>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dgm:spPr>
    </dgm:pt>
    <dgm:pt modelId="{D4CB45D7-ECEB-4F8A-A16C-7B246DF47214}" type="pres">
      <dgm:prSet presAssocID="{773B5F76-8854-49EE-9DF5-4D1CD06F324C}" presName="parTxOnly" presStyleLbl="node1" presStyleIdx="10" presStyleCnt="11">
        <dgm:presLayoutVars>
          <dgm:chMax val="0"/>
          <dgm:chPref val="0"/>
          <dgm:bulletEnabled val="1"/>
        </dgm:presLayoutVars>
      </dgm:prSet>
      <dgm:spPr/>
    </dgm:pt>
  </dgm:ptLst>
  <dgm:cxnLst>
    <dgm:cxn modelId="{B415C700-5F7B-4087-8C2D-69D8DA56E49C}" srcId="{614D3ACD-7CC7-40CD-B7BF-A409A10A0218}" destId="{773B5F76-8854-49EE-9DF5-4D1CD06F324C}" srcOrd="10" destOrd="0" parTransId="{0ABBCED9-B98C-4DA4-A00B-64FF42CC8DD8}" sibTransId="{849E2534-29D1-4C36-9296-54F2C8BE78E5}"/>
    <dgm:cxn modelId="{FED69C0C-F4E4-4A08-AB70-92B770327AF7}" type="presOf" srcId="{5737FD2B-18FB-408E-9726-0BDA31E6E4D4}" destId="{059B3364-FE5F-438E-90DD-48D5E8D20778}" srcOrd="0" destOrd="0" presId="urn:microsoft.com/office/officeart/2005/8/layout/chevron1"/>
    <dgm:cxn modelId="{2718560F-056B-4793-A6D7-6C799D6FC17C}" type="presOf" srcId="{58C6B983-457E-47DD-9891-094FC4D40E1D}" destId="{7DB9AC84-E5FD-42AD-AE93-E5BC46B6501A}" srcOrd="0" destOrd="0" presId="urn:microsoft.com/office/officeart/2005/8/layout/chevron1"/>
    <dgm:cxn modelId="{92C2B22D-44C2-4E03-B07A-9985754318EA}" type="presOf" srcId="{546FC8DB-10D7-4EF5-BB7E-D39C53C81F11}" destId="{5BF75EDC-9AF4-4D77-B8D1-20FEEEC2F0D8}" srcOrd="0" destOrd="0" presId="urn:microsoft.com/office/officeart/2005/8/layout/chevron1"/>
    <dgm:cxn modelId="{49C0612E-F39B-41F9-A8C6-485CDB172062}" type="presOf" srcId="{35FBB659-8F20-4A0E-A253-ACD02C84DF63}" destId="{0043EA8E-E4EB-46EC-9757-9BF293B05FB3}" srcOrd="0" destOrd="0" presId="urn:microsoft.com/office/officeart/2005/8/layout/chevron1"/>
    <dgm:cxn modelId="{D11C955B-AD09-4ADE-B277-35829FD08EE0}" srcId="{614D3ACD-7CC7-40CD-B7BF-A409A10A0218}" destId="{F4BB2450-FEC4-4775-AE7A-942EE6A23A79}" srcOrd="3" destOrd="0" parTransId="{DEF8A282-E3E8-4902-9882-427FE4A15435}" sibTransId="{5E14730C-B1BC-46E1-B4B3-8F5C23343B4D}"/>
    <dgm:cxn modelId="{67CDFE5B-913E-4DB4-9F14-94DA94E5642D}" srcId="{614D3ACD-7CC7-40CD-B7BF-A409A10A0218}" destId="{A69E0EFE-BF8B-4871-B4EF-1E1862537C88}" srcOrd="2" destOrd="0" parTransId="{AED5AF14-68F6-49B1-BD58-EAA6CB729A16}" sibTransId="{873D43A1-7FE0-4A9D-8D37-E92ED4BA91B8}"/>
    <dgm:cxn modelId="{BD4F3844-2D00-4F18-99B9-901786C4604A}" srcId="{614D3ACD-7CC7-40CD-B7BF-A409A10A0218}" destId="{58C6B983-457E-47DD-9891-094FC4D40E1D}" srcOrd="0" destOrd="0" parTransId="{A6CA9733-AABF-4065-9E16-B051E2A73304}" sibTransId="{AC2E4671-4057-4F2B-B723-26FE592E82B7}"/>
    <dgm:cxn modelId="{B83F7A49-97B7-4300-8B6C-9C385A2790AD}" type="presOf" srcId="{61AB0553-877A-423A-8C20-1C9487AB9778}" destId="{8B921E4B-7BB9-43B7-A20F-4219100A6314}" srcOrd="0" destOrd="0" presId="urn:microsoft.com/office/officeart/2005/8/layout/chevron1"/>
    <dgm:cxn modelId="{0287C36B-54DF-4E07-89CE-CCC98BC60E16}" type="presOf" srcId="{9E919EF1-59A4-4D92-9EAA-B9C519B71E95}" destId="{B25165D8-1DF1-4817-981B-4ABE9D7F2D92}" srcOrd="0" destOrd="0" presId="urn:microsoft.com/office/officeart/2005/8/layout/chevron1"/>
    <dgm:cxn modelId="{CFF3C74C-091E-4416-BC6E-7F24A501E5EE}" type="presOf" srcId="{1C2BBD74-12A6-47BB-95AC-574D992B3876}" destId="{0C9E00E5-616A-4DD3-A6CC-09BB5C59066D}" srcOrd="0" destOrd="0" presId="urn:microsoft.com/office/officeart/2005/8/layout/chevron1"/>
    <dgm:cxn modelId="{01FACA6E-7564-494F-B873-B26A142CDB39}" srcId="{614D3ACD-7CC7-40CD-B7BF-A409A10A0218}" destId="{1C2BBD74-12A6-47BB-95AC-574D992B3876}" srcOrd="5" destOrd="0" parTransId="{5329FE44-5173-4828-B734-070F22008AF6}" sibTransId="{2D513E07-2C80-4BB0-A654-7357A23C13D5}"/>
    <dgm:cxn modelId="{640B6B4F-821E-4021-834D-69D6683F61C3}" type="presOf" srcId="{773B5F76-8854-49EE-9DF5-4D1CD06F324C}" destId="{D4CB45D7-ECEB-4F8A-A16C-7B246DF47214}" srcOrd="0" destOrd="0" presId="urn:microsoft.com/office/officeart/2005/8/layout/chevron1"/>
    <dgm:cxn modelId="{BE51F956-6653-4374-B740-1B27659A89D9}" srcId="{614D3ACD-7CC7-40CD-B7BF-A409A10A0218}" destId="{5737FD2B-18FB-408E-9726-0BDA31E6E4D4}" srcOrd="1" destOrd="0" parTransId="{3BBAF81B-8266-42E4-80BC-D56ECF930EAE}" sibTransId="{8E99C597-E508-4642-80C4-379A26A81F15}"/>
    <dgm:cxn modelId="{813A3B77-2269-4C3F-899E-3A7F05E4C686}" srcId="{614D3ACD-7CC7-40CD-B7BF-A409A10A0218}" destId="{61AB0553-877A-423A-8C20-1C9487AB9778}" srcOrd="8" destOrd="0" parTransId="{84CDEE21-5F6E-43A1-9EC6-F336A2EA4A7F}" sibTransId="{69BF0EA6-5CC9-4436-BDE6-A74266A5010D}"/>
    <dgm:cxn modelId="{2BDE7A7B-7271-4A43-8C9C-8EE13C42274F}" type="presOf" srcId="{F4BB2450-FEC4-4775-AE7A-942EE6A23A79}" destId="{8654D0BD-D9D2-4212-B05A-DBB593DE2A13}" srcOrd="0" destOrd="0" presId="urn:microsoft.com/office/officeart/2005/8/layout/chevron1"/>
    <dgm:cxn modelId="{7BDBCD7C-2117-43CC-A586-1D769C620839}" type="presOf" srcId="{C7B7C0EC-F575-46E7-B353-8477EE5CB799}" destId="{B5FE3C45-50DE-41C0-8FAA-91103FD96714}" srcOrd="0" destOrd="0" presId="urn:microsoft.com/office/officeart/2005/8/layout/chevron1"/>
    <dgm:cxn modelId="{17265395-7306-4EE2-9459-DC93E27A33E1}" srcId="{614D3ACD-7CC7-40CD-B7BF-A409A10A0218}" destId="{9E919EF1-59A4-4D92-9EAA-B9C519B71E95}" srcOrd="7" destOrd="0" parTransId="{85BEAE6F-1F75-477A-9729-229C916B50AE}" sibTransId="{05E7B862-5177-4AF8-B98A-D085AFCA57FA}"/>
    <dgm:cxn modelId="{AF57B8B1-7B82-42F9-AA92-0B0ACCC35F32}" type="presOf" srcId="{614D3ACD-7CC7-40CD-B7BF-A409A10A0218}" destId="{84158AD1-BC96-4EDF-9562-DE1CA02AC8DC}" srcOrd="0" destOrd="0" presId="urn:microsoft.com/office/officeart/2005/8/layout/chevron1"/>
    <dgm:cxn modelId="{B14607BB-DD03-4D72-B73E-04BE1A302171}" type="presOf" srcId="{A69E0EFE-BF8B-4871-B4EF-1E1862537C88}" destId="{50D9883B-63AE-4BFD-BD55-342AF101025D}" srcOrd="0" destOrd="0" presId="urn:microsoft.com/office/officeart/2005/8/layout/chevron1"/>
    <dgm:cxn modelId="{D22B99BB-1099-463F-935D-1F474B3DB97C}" srcId="{614D3ACD-7CC7-40CD-B7BF-A409A10A0218}" destId="{546FC8DB-10D7-4EF5-BB7E-D39C53C81F11}" srcOrd="4" destOrd="0" parTransId="{BD92ECA6-EC8B-40C7-B198-9AA59D274228}" sibTransId="{E59642FC-B9E6-4E11-B5F7-CC620DF1FF1D}"/>
    <dgm:cxn modelId="{027BA6CD-8FCC-4936-9245-AFFDE5366EB0}" srcId="{614D3ACD-7CC7-40CD-B7BF-A409A10A0218}" destId="{C7B7C0EC-F575-46E7-B353-8477EE5CB799}" srcOrd="6" destOrd="0" parTransId="{35ED083C-01EB-45AB-AC81-66275E064D27}" sibTransId="{15CC3D70-9011-462B-84CA-AD70D0A7D379}"/>
    <dgm:cxn modelId="{8C422DEF-34AC-413E-B496-D159D674307E}" srcId="{614D3ACD-7CC7-40CD-B7BF-A409A10A0218}" destId="{35FBB659-8F20-4A0E-A253-ACD02C84DF63}" srcOrd="9" destOrd="0" parTransId="{1155E32D-60E7-4A55-B41E-15376C80BEAD}" sibTransId="{5D9C32C9-9FC7-4904-9680-D6EA6F95FC11}"/>
    <dgm:cxn modelId="{3D883D7C-ACF3-4D74-A4FF-2FA61482C55D}" type="presParOf" srcId="{84158AD1-BC96-4EDF-9562-DE1CA02AC8DC}" destId="{7DB9AC84-E5FD-42AD-AE93-E5BC46B6501A}" srcOrd="0" destOrd="0" presId="urn:microsoft.com/office/officeart/2005/8/layout/chevron1"/>
    <dgm:cxn modelId="{0EC33AC7-EDA6-4F79-8041-2145D608FDFE}" type="presParOf" srcId="{84158AD1-BC96-4EDF-9562-DE1CA02AC8DC}" destId="{FE6FCF7B-6DE1-4A7F-B3B6-4392550C156A}" srcOrd="1" destOrd="0" presId="urn:microsoft.com/office/officeart/2005/8/layout/chevron1"/>
    <dgm:cxn modelId="{55374453-6D06-4115-AA3F-2BA1DA5BF9D1}" type="presParOf" srcId="{84158AD1-BC96-4EDF-9562-DE1CA02AC8DC}" destId="{059B3364-FE5F-438E-90DD-48D5E8D20778}" srcOrd="2" destOrd="0" presId="urn:microsoft.com/office/officeart/2005/8/layout/chevron1"/>
    <dgm:cxn modelId="{D6CAC677-7BAF-4B4E-BCFC-4D26AAB39EBE}" type="presParOf" srcId="{84158AD1-BC96-4EDF-9562-DE1CA02AC8DC}" destId="{AFA0561B-D346-43CC-BCF2-99E5535FF55A}" srcOrd="3" destOrd="0" presId="urn:microsoft.com/office/officeart/2005/8/layout/chevron1"/>
    <dgm:cxn modelId="{9E988F24-DBE7-4AD7-B369-2A74BA294705}" type="presParOf" srcId="{84158AD1-BC96-4EDF-9562-DE1CA02AC8DC}" destId="{50D9883B-63AE-4BFD-BD55-342AF101025D}" srcOrd="4" destOrd="0" presId="urn:microsoft.com/office/officeart/2005/8/layout/chevron1"/>
    <dgm:cxn modelId="{4EC70B4A-D702-41A2-B3C6-D263A2328F46}" type="presParOf" srcId="{84158AD1-BC96-4EDF-9562-DE1CA02AC8DC}" destId="{B2B174E2-7F3D-43EA-A156-95F807182F39}" srcOrd="5" destOrd="0" presId="urn:microsoft.com/office/officeart/2005/8/layout/chevron1"/>
    <dgm:cxn modelId="{74BE0DC7-F04E-4B49-AC61-5273468FCEE7}" type="presParOf" srcId="{84158AD1-BC96-4EDF-9562-DE1CA02AC8DC}" destId="{8654D0BD-D9D2-4212-B05A-DBB593DE2A13}" srcOrd="6" destOrd="0" presId="urn:microsoft.com/office/officeart/2005/8/layout/chevron1"/>
    <dgm:cxn modelId="{77697C3F-FA0F-4FB5-9E0F-185ACBCD5823}" type="presParOf" srcId="{84158AD1-BC96-4EDF-9562-DE1CA02AC8DC}" destId="{57AC123C-D42C-4A4A-AE87-D2C78BC9F2C1}" srcOrd="7" destOrd="0" presId="urn:microsoft.com/office/officeart/2005/8/layout/chevron1"/>
    <dgm:cxn modelId="{ADBF0880-6CD0-4A26-892A-071301DBF8D0}" type="presParOf" srcId="{84158AD1-BC96-4EDF-9562-DE1CA02AC8DC}" destId="{5BF75EDC-9AF4-4D77-B8D1-20FEEEC2F0D8}" srcOrd="8" destOrd="0" presId="urn:microsoft.com/office/officeart/2005/8/layout/chevron1"/>
    <dgm:cxn modelId="{C1CE2A61-B241-4022-9746-C7221B13821E}" type="presParOf" srcId="{84158AD1-BC96-4EDF-9562-DE1CA02AC8DC}" destId="{F64A9D78-1A97-4022-A896-2E8D99C8BDF3}" srcOrd="9" destOrd="0" presId="urn:microsoft.com/office/officeart/2005/8/layout/chevron1"/>
    <dgm:cxn modelId="{7070C530-BFD1-450F-91D2-53487DDF1076}" type="presParOf" srcId="{84158AD1-BC96-4EDF-9562-DE1CA02AC8DC}" destId="{0C9E00E5-616A-4DD3-A6CC-09BB5C59066D}" srcOrd="10" destOrd="0" presId="urn:microsoft.com/office/officeart/2005/8/layout/chevron1"/>
    <dgm:cxn modelId="{EC939348-5FA9-459B-BF69-E3E2489E4A65}" type="presParOf" srcId="{84158AD1-BC96-4EDF-9562-DE1CA02AC8DC}" destId="{8019CD82-11EC-4CEC-9E4D-DCCD6495691F}" srcOrd="11" destOrd="0" presId="urn:microsoft.com/office/officeart/2005/8/layout/chevron1"/>
    <dgm:cxn modelId="{7F83F2F5-3A0D-491F-8719-926F12CFB107}" type="presParOf" srcId="{84158AD1-BC96-4EDF-9562-DE1CA02AC8DC}" destId="{B5FE3C45-50DE-41C0-8FAA-91103FD96714}" srcOrd="12" destOrd="0" presId="urn:microsoft.com/office/officeart/2005/8/layout/chevron1"/>
    <dgm:cxn modelId="{A8BEBF01-372B-4E57-A4DD-EDFD7F769266}" type="presParOf" srcId="{84158AD1-BC96-4EDF-9562-DE1CA02AC8DC}" destId="{D7152A5D-5274-49B5-A0A6-646A29593D56}" srcOrd="13" destOrd="0" presId="urn:microsoft.com/office/officeart/2005/8/layout/chevron1"/>
    <dgm:cxn modelId="{94B5CF70-1EB1-4E90-82ED-7FFE4CAC5D1B}" type="presParOf" srcId="{84158AD1-BC96-4EDF-9562-DE1CA02AC8DC}" destId="{B25165D8-1DF1-4817-981B-4ABE9D7F2D92}" srcOrd="14" destOrd="0" presId="urn:microsoft.com/office/officeart/2005/8/layout/chevron1"/>
    <dgm:cxn modelId="{7791988C-6DB2-43DB-8116-AC52A1253F2B}" type="presParOf" srcId="{84158AD1-BC96-4EDF-9562-DE1CA02AC8DC}" destId="{73BF7690-1AE9-44D2-B4ED-E8F9FED212B2}" srcOrd="15" destOrd="0" presId="urn:microsoft.com/office/officeart/2005/8/layout/chevron1"/>
    <dgm:cxn modelId="{D8213668-0917-4CCE-BD68-E56DEA13C408}" type="presParOf" srcId="{84158AD1-BC96-4EDF-9562-DE1CA02AC8DC}" destId="{8B921E4B-7BB9-43B7-A20F-4219100A6314}" srcOrd="16" destOrd="0" presId="urn:microsoft.com/office/officeart/2005/8/layout/chevron1"/>
    <dgm:cxn modelId="{9D47829D-B9A2-46F0-BEB2-D7DD171E7B30}" type="presParOf" srcId="{84158AD1-BC96-4EDF-9562-DE1CA02AC8DC}" destId="{7E980CDF-8D75-4D59-9115-A3CE2BE3AFC4}" srcOrd="17" destOrd="0" presId="urn:microsoft.com/office/officeart/2005/8/layout/chevron1"/>
    <dgm:cxn modelId="{A0437469-7140-4ED2-A817-6CAE9D16AFA3}" type="presParOf" srcId="{84158AD1-BC96-4EDF-9562-DE1CA02AC8DC}" destId="{0043EA8E-E4EB-46EC-9757-9BF293B05FB3}" srcOrd="18" destOrd="0" presId="urn:microsoft.com/office/officeart/2005/8/layout/chevron1"/>
    <dgm:cxn modelId="{E5CA61CC-3D4D-46CA-B634-A5D6AF533DC5}" type="presParOf" srcId="{84158AD1-BC96-4EDF-9562-DE1CA02AC8DC}" destId="{22EB5CE5-F4DB-4F2B-A33A-F5935D38FF10}" srcOrd="19" destOrd="0" presId="urn:microsoft.com/office/officeart/2005/8/layout/chevron1"/>
    <dgm:cxn modelId="{4BDA4F46-0F5B-4119-A88F-C80FC9114F7E}" type="presParOf" srcId="{84158AD1-BC96-4EDF-9562-DE1CA02AC8DC}" destId="{D4CB45D7-ECEB-4F8A-A16C-7B246DF47214}" srcOrd="20" destOrd="0" presId="urn:microsoft.com/office/officeart/2005/8/layout/chevron1"/>
  </dgm:cxnLst>
  <dgm:bg/>
  <dgm:whole/>
  <dgm:extLst>
    <a:ext uri="http://schemas.microsoft.com/office/drawing/2008/diagram">
      <dsp:dataModelExt xmlns:dsp="http://schemas.microsoft.com/office/drawing/2008/diagram" relId="rId6" minVer="http://schemas.openxmlformats.org/drawingml/2006/diagram"/>
    </a:ext>
  </dgm:extLst>
</dgm:dataModel>
</file>

<file path=xl/diagrams/data3.xml><?xml version="1.0" encoding="utf-8"?>
<dgm:dataModel xmlns:dgm="http://schemas.openxmlformats.org/drawingml/2006/diagram" xmlns:a="http://schemas.openxmlformats.org/drawingml/2006/main">
  <dgm:ptLst>
    <dgm:pt modelId="{614D3ACD-7CC7-40CD-B7BF-A409A10A0218}" type="doc">
      <dgm:prSet loTypeId="urn:microsoft.com/office/officeart/2005/8/layout/chevron1" loCatId="process" qsTypeId="urn:microsoft.com/office/officeart/2005/8/quickstyle/3d2" qsCatId="3D" csTypeId="urn:microsoft.com/office/officeart/2005/8/colors/colorful4" csCatId="colorful" phldr="1"/>
      <dgm:spPr>
        <a:scene3d>
          <a:camera prst="orthographicFront">
            <a:rot lat="0" lon="0" rev="0"/>
          </a:camera>
          <a:lightRig rig="contrasting" dir="t">
            <a:rot lat="0" lon="0" rev="1500000"/>
          </a:lightRig>
        </a:scene3d>
      </dgm:spPr>
    </dgm:pt>
    <dgm:pt modelId="{5737FD2B-18FB-408E-9726-0BDA31E6E4D4}">
      <dgm:prSet phldrT="[Teksti]" custT="1"/>
      <dgm:spPr>
        <a:solidFill>
          <a:schemeClr val="accent6"/>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dgm:spPr>
      <dgm:t>
        <a:bodyPr/>
        <a:lstStyle/>
        <a:p>
          <a:r>
            <a:rPr lang="fi-FI" sz="1200"/>
            <a:t>Sadot</a:t>
          </a:r>
        </a:p>
      </dgm:t>
    </dgm:pt>
    <dgm:pt modelId="{3BBAF81B-8266-42E4-80BC-D56ECF930EAE}" type="parTrans" cxnId="{BE51F956-6653-4374-B740-1B27659A89D9}">
      <dgm:prSet/>
      <dgm:spPr/>
      <dgm:t>
        <a:bodyPr/>
        <a:lstStyle/>
        <a:p>
          <a:endParaRPr lang="fi-FI" sz="900"/>
        </a:p>
      </dgm:t>
    </dgm:pt>
    <dgm:pt modelId="{8E99C597-E508-4642-80C4-379A26A81F15}" type="sibTrans" cxnId="{BE51F956-6653-4374-B740-1B27659A89D9}">
      <dgm:prSet/>
      <dgm:spPr/>
      <dgm:t>
        <a:bodyPr/>
        <a:lstStyle/>
        <a:p>
          <a:endParaRPr lang="fi-FI" sz="900"/>
        </a:p>
      </dgm:t>
    </dgm:pt>
    <dgm:pt modelId="{F4BB2450-FEC4-4775-AE7A-942EE6A23A79}">
      <dgm:prSet phldrT="[Teksti]" custT="1"/>
      <dgm:spPr>
        <a:solidFill>
          <a:srgbClr val="0070C0"/>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dgm:spPr>
      <dgm:t>
        <a:bodyPr/>
        <a:lstStyle/>
        <a:p>
          <a:r>
            <a:rPr lang="fi-FI" sz="900"/>
            <a:t>Tuet</a:t>
          </a:r>
        </a:p>
      </dgm:t>
    </dgm:pt>
    <dgm:pt modelId="{DEF8A282-E3E8-4902-9882-427FE4A15435}" type="parTrans" cxnId="{D11C955B-AD09-4ADE-B277-35829FD08EE0}">
      <dgm:prSet/>
      <dgm:spPr/>
      <dgm:t>
        <a:bodyPr/>
        <a:lstStyle/>
        <a:p>
          <a:endParaRPr lang="fi-FI" sz="900"/>
        </a:p>
      </dgm:t>
    </dgm:pt>
    <dgm:pt modelId="{5E14730C-B1BC-46E1-B4B3-8F5C23343B4D}" type="sibTrans" cxnId="{D11C955B-AD09-4ADE-B277-35829FD08EE0}">
      <dgm:prSet/>
      <dgm:spPr/>
      <dgm:t>
        <a:bodyPr/>
        <a:lstStyle/>
        <a:p>
          <a:endParaRPr lang="fi-FI" sz="900"/>
        </a:p>
      </dgm:t>
    </dgm:pt>
    <dgm:pt modelId="{546FC8DB-10D7-4EF5-BB7E-D39C53C81F11}">
      <dgm:prSet phldrT="[Teksti]" custT="1"/>
      <dgm:spPr>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dgm:spPr>
      <dgm:t>
        <a:bodyPr/>
        <a:lstStyle/>
        <a:p>
          <a:r>
            <a:rPr lang="fi-FI" sz="900"/>
            <a:t>Rehuarvot</a:t>
          </a:r>
        </a:p>
      </dgm:t>
    </dgm:pt>
    <dgm:pt modelId="{BD92ECA6-EC8B-40C7-B198-9AA59D274228}" type="parTrans" cxnId="{D22B99BB-1099-463F-935D-1F474B3DB97C}">
      <dgm:prSet/>
      <dgm:spPr/>
      <dgm:t>
        <a:bodyPr/>
        <a:lstStyle/>
        <a:p>
          <a:endParaRPr lang="fi-FI" sz="900"/>
        </a:p>
      </dgm:t>
    </dgm:pt>
    <dgm:pt modelId="{E59642FC-B9E6-4E11-B5F7-CC620DF1FF1D}" type="sibTrans" cxnId="{D22B99BB-1099-463F-935D-1F474B3DB97C}">
      <dgm:prSet/>
      <dgm:spPr/>
      <dgm:t>
        <a:bodyPr/>
        <a:lstStyle/>
        <a:p>
          <a:endParaRPr lang="fi-FI" sz="900"/>
        </a:p>
      </dgm:t>
    </dgm:pt>
    <dgm:pt modelId="{1C2BBD74-12A6-47BB-95AC-574D992B3876}">
      <dgm:prSet phldrT="[Teksti]" custT="1"/>
      <dgm:spPr>
        <a:solidFill>
          <a:schemeClr val="accent3">
            <a:lumMod val="75000"/>
          </a:schemeClr>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dgm:spPr>
      <dgm:t>
        <a:bodyPr/>
        <a:lstStyle/>
        <a:p>
          <a:r>
            <a:rPr lang="fi-FI" sz="900"/>
            <a:t>Ostopanokset</a:t>
          </a:r>
        </a:p>
      </dgm:t>
    </dgm:pt>
    <dgm:pt modelId="{5329FE44-5173-4828-B734-070F22008AF6}" type="parTrans" cxnId="{01FACA6E-7564-494F-B873-B26A142CDB39}">
      <dgm:prSet/>
      <dgm:spPr/>
      <dgm:t>
        <a:bodyPr/>
        <a:lstStyle/>
        <a:p>
          <a:endParaRPr lang="fi-FI" sz="900"/>
        </a:p>
      </dgm:t>
    </dgm:pt>
    <dgm:pt modelId="{2D513E07-2C80-4BB0-A654-7357A23C13D5}" type="sibTrans" cxnId="{01FACA6E-7564-494F-B873-B26A142CDB39}">
      <dgm:prSet/>
      <dgm:spPr/>
      <dgm:t>
        <a:bodyPr/>
        <a:lstStyle/>
        <a:p>
          <a:endParaRPr lang="fi-FI" sz="900"/>
        </a:p>
      </dgm:t>
    </dgm:pt>
    <dgm:pt modelId="{61AB0553-877A-423A-8C20-1C9487AB9778}">
      <dgm:prSet phldrT="[Teksti]" custT="1"/>
      <dgm:spPr>
        <a:solidFill>
          <a:schemeClr val="tx2">
            <a:lumMod val="75000"/>
          </a:schemeClr>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dgm:spPr>
      <dgm:t>
        <a:bodyPr/>
        <a:lstStyle/>
        <a:p>
          <a:r>
            <a:rPr lang="fi-FI" sz="900"/>
            <a:t>Investoinnit</a:t>
          </a:r>
        </a:p>
      </dgm:t>
    </dgm:pt>
    <dgm:pt modelId="{84CDEE21-5F6E-43A1-9EC6-F336A2EA4A7F}" type="parTrans" cxnId="{813A3B77-2269-4C3F-899E-3A7F05E4C686}">
      <dgm:prSet/>
      <dgm:spPr/>
      <dgm:t>
        <a:bodyPr/>
        <a:lstStyle/>
        <a:p>
          <a:endParaRPr lang="fi-FI" sz="900"/>
        </a:p>
      </dgm:t>
    </dgm:pt>
    <dgm:pt modelId="{69BF0EA6-5CC9-4436-BDE6-A74266A5010D}" type="sibTrans" cxnId="{813A3B77-2269-4C3F-899E-3A7F05E4C686}">
      <dgm:prSet/>
      <dgm:spPr/>
      <dgm:t>
        <a:bodyPr/>
        <a:lstStyle/>
        <a:p>
          <a:endParaRPr lang="fi-FI" sz="900"/>
        </a:p>
      </dgm:t>
    </dgm:pt>
    <dgm:pt modelId="{35FBB659-8F20-4A0E-A253-ACD02C84DF63}">
      <dgm:prSet phldrT="[Teksti]" custT="1"/>
      <dgm:spPr>
        <a:solidFill>
          <a:schemeClr val="accent5">
            <a:lumMod val="60000"/>
            <a:lumOff val="40000"/>
          </a:schemeClr>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dgm:spPr>
      <dgm:t>
        <a:bodyPr/>
        <a:lstStyle/>
        <a:p>
          <a:r>
            <a:rPr lang="fi-FI" sz="900"/>
            <a:t>Kustannusten jako</a:t>
          </a:r>
        </a:p>
      </dgm:t>
    </dgm:pt>
    <dgm:pt modelId="{1155E32D-60E7-4A55-B41E-15376C80BEAD}" type="parTrans" cxnId="{8C422DEF-34AC-413E-B496-D159D674307E}">
      <dgm:prSet/>
      <dgm:spPr/>
      <dgm:t>
        <a:bodyPr/>
        <a:lstStyle/>
        <a:p>
          <a:endParaRPr lang="fi-FI" sz="900"/>
        </a:p>
      </dgm:t>
    </dgm:pt>
    <dgm:pt modelId="{5D9C32C9-9FC7-4904-9680-D6EA6F95FC11}" type="sibTrans" cxnId="{8C422DEF-34AC-413E-B496-D159D674307E}">
      <dgm:prSet/>
      <dgm:spPr/>
      <dgm:t>
        <a:bodyPr/>
        <a:lstStyle/>
        <a:p>
          <a:endParaRPr lang="fi-FI" sz="900"/>
        </a:p>
      </dgm:t>
    </dgm:pt>
    <dgm:pt modelId="{773B5F76-8854-49EE-9DF5-4D1CD06F324C}">
      <dgm:prSet phldrT="[Teksti]" custT="1"/>
      <dgm:spPr>
        <a:solidFill>
          <a:schemeClr val="accent2">
            <a:lumMod val="50000"/>
          </a:schemeClr>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dgm:spPr>
      <dgm:t>
        <a:bodyPr/>
        <a:lstStyle/>
        <a:p>
          <a:r>
            <a:rPr lang="fi-FI" sz="900"/>
            <a:t>Vertaa tuotanto-kustannuksia</a:t>
          </a:r>
        </a:p>
      </dgm:t>
    </dgm:pt>
    <dgm:pt modelId="{0ABBCED9-B98C-4DA4-A00B-64FF42CC8DD8}" type="parTrans" cxnId="{B415C700-5F7B-4087-8C2D-69D8DA56E49C}">
      <dgm:prSet/>
      <dgm:spPr/>
      <dgm:t>
        <a:bodyPr/>
        <a:lstStyle/>
        <a:p>
          <a:endParaRPr lang="fi-FI" sz="900"/>
        </a:p>
      </dgm:t>
    </dgm:pt>
    <dgm:pt modelId="{849E2534-29D1-4C36-9296-54F2C8BE78E5}" type="sibTrans" cxnId="{B415C700-5F7B-4087-8C2D-69D8DA56E49C}">
      <dgm:prSet/>
      <dgm:spPr/>
      <dgm:t>
        <a:bodyPr/>
        <a:lstStyle/>
        <a:p>
          <a:endParaRPr lang="fi-FI" sz="900"/>
        </a:p>
      </dgm:t>
    </dgm:pt>
    <dgm:pt modelId="{3827F463-93E1-43FA-B399-1D74674F6A75}">
      <dgm:prSet phldrT="[Teksti]" custT="1"/>
      <dgm:spPr>
        <a:solidFill>
          <a:schemeClr val="bg2">
            <a:lumMod val="50000"/>
          </a:schemeClr>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dgm:spPr>
      <dgm:t>
        <a:bodyPr/>
        <a:lstStyle/>
        <a:p>
          <a:r>
            <a:rPr lang="fi-FI" sz="900"/>
            <a:t>Työmäärä</a:t>
          </a:r>
        </a:p>
      </dgm:t>
    </dgm:pt>
    <dgm:pt modelId="{FDF9FAE2-CDE8-411B-A624-E8C784B6B2BC}" type="parTrans" cxnId="{E10EB816-59CF-4C3D-8882-E2AFD66909D6}">
      <dgm:prSet/>
      <dgm:spPr/>
      <dgm:t>
        <a:bodyPr/>
        <a:lstStyle/>
        <a:p>
          <a:endParaRPr lang="fi-FI" sz="900"/>
        </a:p>
      </dgm:t>
    </dgm:pt>
    <dgm:pt modelId="{B8FCE959-D802-41B1-B756-AB82D6F487DB}" type="sibTrans" cxnId="{E10EB816-59CF-4C3D-8882-E2AFD66909D6}">
      <dgm:prSet/>
      <dgm:spPr/>
      <dgm:t>
        <a:bodyPr/>
        <a:lstStyle/>
        <a:p>
          <a:endParaRPr lang="fi-FI" sz="900"/>
        </a:p>
      </dgm:t>
    </dgm:pt>
    <dgm:pt modelId="{84158AD1-BC96-4EDF-9562-DE1CA02AC8DC}" type="pres">
      <dgm:prSet presAssocID="{614D3ACD-7CC7-40CD-B7BF-A409A10A0218}" presName="Name0" presStyleCnt="0">
        <dgm:presLayoutVars>
          <dgm:dir/>
          <dgm:animLvl val="lvl"/>
          <dgm:resizeHandles val="exact"/>
        </dgm:presLayoutVars>
      </dgm:prSet>
      <dgm:spPr/>
    </dgm:pt>
    <dgm:pt modelId="{059B3364-FE5F-438E-90DD-48D5E8D20778}" type="pres">
      <dgm:prSet presAssocID="{5737FD2B-18FB-408E-9726-0BDA31E6E4D4}" presName="parTxOnly" presStyleLbl="node1" presStyleIdx="0" presStyleCnt="8">
        <dgm:presLayoutVars>
          <dgm:chMax val="0"/>
          <dgm:chPref val="0"/>
          <dgm:bulletEnabled val="1"/>
        </dgm:presLayoutVars>
      </dgm:prSet>
      <dgm:spPr/>
    </dgm:pt>
    <dgm:pt modelId="{AFA0561B-D346-43CC-BCF2-99E5535FF55A}" type="pres">
      <dgm:prSet presAssocID="{8E99C597-E508-4642-80C4-379A26A81F15}" presName="parTxOnlySpace" presStyleCnt="0"/>
      <dgm:spPr>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dgm:spPr>
    </dgm:pt>
    <dgm:pt modelId="{8654D0BD-D9D2-4212-B05A-DBB593DE2A13}" type="pres">
      <dgm:prSet presAssocID="{F4BB2450-FEC4-4775-AE7A-942EE6A23A79}" presName="parTxOnly" presStyleLbl="node1" presStyleIdx="1" presStyleCnt="8">
        <dgm:presLayoutVars>
          <dgm:chMax val="0"/>
          <dgm:chPref val="0"/>
          <dgm:bulletEnabled val="1"/>
        </dgm:presLayoutVars>
      </dgm:prSet>
      <dgm:spPr/>
    </dgm:pt>
    <dgm:pt modelId="{57AC123C-D42C-4A4A-AE87-D2C78BC9F2C1}" type="pres">
      <dgm:prSet presAssocID="{5E14730C-B1BC-46E1-B4B3-8F5C23343B4D}" presName="parTxOnlySpace" presStyleCnt="0"/>
      <dgm:spPr>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dgm:spPr>
    </dgm:pt>
    <dgm:pt modelId="{5BF75EDC-9AF4-4D77-B8D1-20FEEEC2F0D8}" type="pres">
      <dgm:prSet presAssocID="{546FC8DB-10D7-4EF5-BB7E-D39C53C81F11}" presName="parTxOnly" presStyleLbl="node1" presStyleIdx="2" presStyleCnt="8">
        <dgm:presLayoutVars>
          <dgm:chMax val="0"/>
          <dgm:chPref val="0"/>
          <dgm:bulletEnabled val="1"/>
        </dgm:presLayoutVars>
      </dgm:prSet>
      <dgm:spPr/>
    </dgm:pt>
    <dgm:pt modelId="{F64A9D78-1A97-4022-A896-2E8D99C8BDF3}" type="pres">
      <dgm:prSet presAssocID="{E59642FC-B9E6-4E11-B5F7-CC620DF1FF1D}" presName="parTxOnlySpace" presStyleCnt="0"/>
      <dgm:spPr>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dgm:spPr>
    </dgm:pt>
    <dgm:pt modelId="{0C9E00E5-616A-4DD3-A6CC-09BB5C59066D}" type="pres">
      <dgm:prSet presAssocID="{1C2BBD74-12A6-47BB-95AC-574D992B3876}" presName="parTxOnly" presStyleLbl="node1" presStyleIdx="3" presStyleCnt="8">
        <dgm:presLayoutVars>
          <dgm:chMax val="0"/>
          <dgm:chPref val="0"/>
          <dgm:bulletEnabled val="1"/>
        </dgm:presLayoutVars>
      </dgm:prSet>
      <dgm:spPr/>
    </dgm:pt>
    <dgm:pt modelId="{8019CD82-11EC-4CEC-9E4D-DCCD6495691F}" type="pres">
      <dgm:prSet presAssocID="{2D513E07-2C80-4BB0-A654-7357A23C13D5}" presName="parTxOnlySpace" presStyleCnt="0"/>
      <dgm:spPr>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dgm:spPr>
    </dgm:pt>
    <dgm:pt modelId="{5475B389-83AA-48AB-A11F-E6140D7F40BA}" type="pres">
      <dgm:prSet presAssocID="{3827F463-93E1-43FA-B399-1D74674F6A75}" presName="parTxOnly" presStyleLbl="node1" presStyleIdx="4" presStyleCnt="8">
        <dgm:presLayoutVars>
          <dgm:chMax val="0"/>
          <dgm:chPref val="0"/>
          <dgm:bulletEnabled val="1"/>
        </dgm:presLayoutVars>
      </dgm:prSet>
      <dgm:spPr/>
    </dgm:pt>
    <dgm:pt modelId="{8A528327-C1E9-44CF-AD16-DEE09D599C28}" type="pres">
      <dgm:prSet presAssocID="{B8FCE959-D802-41B1-B756-AB82D6F487DB}" presName="parTxOnlySpace" presStyleCnt="0"/>
      <dgm:spPr>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dgm:spPr>
    </dgm:pt>
    <dgm:pt modelId="{8B921E4B-7BB9-43B7-A20F-4219100A6314}" type="pres">
      <dgm:prSet presAssocID="{61AB0553-877A-423A-8C20-1C9487AB9778}" presName="parTxOnly" presStyleLbl="node1" presStyleIdx="5" presStyleCnt="8">
        <dgm:presLayoutVars>
          <dgm:chMax val="0"/>
          <dgm:chPref val="0"/>
          <dgm:bulletEnabled val="1"/>
        </dgm:presLayoutVars>
      </dgm:prSet>
      <dgm:spPr/>
    </dgm:pt>
    <dgm:pt modelId="{7E980CDF-8D75-4D59-9115-A3CE2BE3AFC4}" type="pres">
      <dgm:prSet presAssocID="{69BF0EA6-5CC9-4436-BDE6-A74266A5010D}" presName="parTxOnlySpace" presStyleCnt="0"/>
      <dgm:spPr>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dgm:spPr>
    </dgm:pt>
    <dgm:pt modelId="{0043EA8E-E4EB-46EC-9757-9BF293B05FB3}" type="pres">
      <dgm:prSet presAssocID="{35FBB659-8F20-4A0E-A253-ACD02C84DF63}" presName="parTxOnly" presStyleLbl="node1" presStyleIdx="6" presStyleCnt="8">
        <dgm:presLayoutVars>
          <dgm:chMax val="0"/>
          <dgm:chPref val="0"/>
          <dgm:bulletEnabled val="1"/>
        </dgm:presLayoutVars>
      </dgm:prSet>
      <dgm:spPr/>
    </dgm:pt>
    <dgm:pt modelId="{22EB5CE5-F4DB-4F2B-A33A-F5935D38FF10}" type="pres">
      <dgm:prSet presAssocID="{5D9C32C9-9FC7-4904-9680-D6EA6F95FC11}" presName="parTxOnlySpace" presStyleCnt="0"/>
      <dgm:spPr>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dgm:spPr>
    </dgm:pt>
    <dgm:pt modelId="{D4CB45D7-ECEB-4F8A-A16C-7B246DF47214}" type="pres">
      <dgm:prSet presAssocID="{773B5F76-8854-49EE-9DF5-4D1CD06F324C}" presName="parTxOnly" presStyleLbl="node1" presStyleIdx="7" presStyleCnt="8">
        <dgm:presLayoutVars>
          <dgm:chMax val="0"/>
          <dgm:chPref val="0"/>
          <dgm:bulletEnabled val="1"/>
        </dgm:presLayoutVars>
      </dgm:prSet>
      <dgm:spPr/>
    </dgm:pt>
  </dgm:ptLst>
  <dgm:cxnLst>
    <dgm:cxn modelId="{B415C700-5F7B-4087-8C2D-69D8DA56E49C}" srcId="{614D3ACD-7CC7-40CD-B7BF-A409A10A0218}" destId="{773B5F76-8854-49EE-9DF5-4D1CD06F324C}" srcOrd="7" destOrd="0" parTransId="{0ABBCED9-B98C-4DA4-A00B-64FF42CC8DD8}" sibTransId="{849E2534-29D1-4C36-9296-54F2C8BE78E5}"/>
    <dgm:cxn modelId="{42343E09-FF73-4DA3-8FEF-744C827FBA7B}" type="presOf" srcId="{61AB0553-877A-423A-8C20-1C9487AB9778}" destId="{8B921E4B-7BB9-43B7-A20F-4219100A6314}" srcOrd="0" destOrd="0" presId="urn:microsoft.com/office/officeart/2005/8/layout/chevron1"/>
    <dgm:cxn modelId="{A1FB140A-DF81-4806-B878-85D7FFA1237A}" type="presOf" srcId="{35FBB659-8F20-4A0E-A253-ACD02C84DF63}" destId="{0043EA8E-E4EB-46EC-9757-9BF293B05FB3}" srcOrd="0" destOrd="0" presId="urn:microsoft.com/office/officeart/2005/8/layout/chevron1"/>
    <dgm:cxn modelId="{E10EB816-59CF-4C3D-8882-E2AFD66909D6}" srcId="{614D3ACD-7CC7-40CD-B7BF-A409A10A0218}" destId="{3827F463-93E1-43FA-B399-1D74674F6A75}" srcOrd="4" destOrd="0" parTransId="{FDF9FAE2-CDE8-411B-A624-E8C784B6B2BC}" sibTransId="{B8FCE959-D802-41B1-B756-AB82D6F487DB}"/>
    <dgm:cxn modelId="{A8590128-91A6-4C27-B048-2C17869442EC}" type="presOf" srcId="{614D3ACD-7CC7-40CD-B7BF-A409A10A0218}" destId="{84158AD1-BC96-4EDF-9562-DE1CA02AC8DC}" srcOrd="0" destOrd="0" presId="urn:microsoft.com/office/officeart/2005/8/layout/chevron1"/>
    <dgm:cxn modelId="{989F953C-75C2-475E-9A13-87BD9F5FC5F3}" type="presOf" srcId="{F4BB2450-FEC4-4775-AE7A-942EE6A23A79}" destId="{8654D0BD-D9D2-4212-B05A-DBB593DE2A13}" srcOrd="0" destOrd="0" presId="urn:microsoft.com/office/officeart/2005/8/layout/chevron1"/>
    <dgm:cxn modelId="{D11C955B-AD09-4ADE-B277-35829FD08EE0}" srcId="{614D3ACD-7CC7-40CD-B7BF-A409A10A0218}" destId="{F4BB2450-FEC4-4775-AE7A-942EE6A23A79}" srcOrd="1" destOrd="0" parTransId="{DEF8A282-E3E8-4902-9882-427FE4A15435}" sibTransId="{5E14730C-B1BC-46E1-B4B3-8F5C23343B4D}"/>
    <dgm:cxn modelId="{01FACA6E-7564-494F-B873-B26A142CDB39}" srcId="{614D3ACD-7CC7-40CD-B7BF-A409A10A0218}" destId="{1C2BBD74-12A6-47BB-95AC-574D992B3876}" srcOrd="3" destOrd="0" parTransId="{5329FE44-5173-4828-B734-070F22008AF6}" sibTransId="{2D513E07-2C80-4BB0-A654-7357A23C13D5}"/>
    <dgm:cxn modelId="{BE51F956-6653-4374-B740-1B27659A89D9}" srcId="{614D3ACD-7CC7-40CD-B7BF-A409A10A0218}" destId="{5737FD2B-18FB-408E-9726-0BDA31E6E4D4}" srcOrd="0" destOrd="0" parTransId="{3BBAF81B-8266-42E4-80BC-D56ECF930EAE}" sibTransId="{8E99C597-E508-4642-80C4-379A26A81F15}"/>
    <dgm:cxn modelId="{813A3B77-2269-4C3F-899E-3A7F05E4C686}" srcId="{614D3ACD-7CC7-40CD-B7BF-A409A10A0218}" destId="{61AB0553-877A-423A-8C20-1C9487AB9778}" srcOrd="5" destOrd="0" parTransId="{84CDEE21-5F6E-43A1-9EC6-F336A2EA4A7F}" sibTransId="{69BF0EA6-5CC9-4436-BDE6-A74266A5010D}"/>
    <dgm:cxn modelId="{D50A3982-2C47-4532-8FED-CE031DEAED74}" type="presOf" srcId="{773B5F76-8854-49EE-9DF5-4D1CD06F324C}" destId="{D4CB45D7-ECEB-4F8A-A16C-7B246DF47214}" srcOrd="0" destOrd="0" presId="urn:microsoft.com/office/officeart/2005/8/layout/chevron1"/>
    <dgm:cxn modelId="{F71B348B-98D9-43B7-8980-782DBB7C88F1}" type="presOf" srcId="{5737FD2B-18FB-408E-9726-0BDA31E6E4D4}" destId="{059B3364-FE5F-438E-90DD-48D5E8D20778}" srcOrd="0" destOrd="0" presId="urn:microsoft.com/office/officeart/2005/8/layout/chevron1"/>
    <dgm:cxn modelId="{B87C26A8-6954-446C-A774-3084646AD5BD}" type="presOf" srcId="{546FC8DB-10D7-4EF5-BB7E-D39C53C81F11}" destId="{5BF75EDC-9AF4-4D77-B8D1-20FEEEC2F0D8}" srcOrd="0" destOrd="0" presId="urn:microsoft.com/office/officeart/2005/8/layout/chevron1"/>
    <dgm:cxn modelId="{D22B99BB-1099-463F-935D-1F474B3DB97C}" srcId="{614D3ACD-7CC7-40CD-B7BF-A409A10A0218}" destId="{546FC8DB-10D7-4EF5-BB7E-D39C53C81F11}" srcOrd="2" destOrd="0" parTransId="{BD92ECA6-EC8B-40C7-B198-9AA59D274228}" sibTransId="{E59642FC-B9E6-4E11-B5F7-CC620DF1FF1D}"/>
    <dgm:cxn modelId="{103023D0-AE20-49BF-9DA3-53D6C17C6798}" type="presOf" srcId="{1C2BBD74-12A6-47BB-95AC-574D992B3876}" destId="{0C9E00E5-616A-4DD3-A6CC-09BB5C59066D}" srcOrd="0" destOrd="0" presId="urn:microsoft.com/office/officeart/2005/8/layout/chevron1"/>
    <dgm:cxn modelId="{2240BED9-5614-4935-B6B3-D99BC39FA6EE}" type="presOf" srcId="{3827F463-93E1-43FA-B399-1D74674F6A75}" destId="{5475B389-83AA-48AB-A11F-E6140D7F40BA}" srcOrd="0" destOrd="0" presId="urn:microsoft.com/office/officeart/2005/8/layout/chevron1"/>
    <dgm:cxn modelId="{8C422DEF-34AC-413E-B496-D159D674307E}" srcId="{614D3ACD-7CC7-40CD-B7BF-A409A10A0218}" destId="{35FBB659-8F20-4A0E-A253-ACD02C84DF63}" srcOrd="6" destOrd="0" parTransId="{1155E32D-60E7-4A55-B41E-15376C80BEAD}" sibTransId="{5D9C32C9-9FC7-4904-9680-D6EA6F95FC11}"/>
    <dgm:cxn modelId="{897EF900-8E15-437D-9C8F-03EDAC631621}" type="presParOf" srcId="{84158AD1-BC96-4EDF-9562-DE1CA02AC8DC}" destId="{059B3364-FE5F-438E-90DD-48D5E8D20778}" srcOrd="0" destOrd="0" presId="urn:microsoft.com/office/officeart/2005/8/layout/chevron1"/>
    <dgm:cxn modelId="{21BDB861-BF4B-49B1-934A-2CF2264C7C03}" type="presParOf" srcId="{84158AD1-BC96-4EDF-9562-DE1CA02AC8DC}" destId="{AFA0561B-D346-43CC-BCF2-99E5535FF55A}" srcOrd="1" destOrd="0" presId="urn:microsoft.com/office/officeart/2005/8/layout/chevron1"/>
    <dgm:cxn modelId="{8A21C917-633F-408B-B653-B2D33EBDD38F}" type="presParOf" srcId="{84158AD1-BC96-4EDF-9562-DE1CA02AC8DC}" destId="{8654D0BD-D9D2-4212-B05A-DBB593DE2A13}" srcOrd="2" destOrd="0" presId="urn:microsoft.com/office/officeart/2005/8/layout/chevron1"/>
    <dgm:cxn modelId="{4338B7E6-13B8-4067-9467-87B21F8133F7}" type="presParOf" srcId="{84158AD1-BC96-4EDF-9562-DE1CA02AC8DC}" destId="{57AC123C-D42C-4A4A-AE87-D2C78BC9F2C1}" srcOrd="3" destOrd="0" presId="urn:microsoft.com/office/officeart/2005/8/layout/chevron1"/>
    <dgm:cxn modelId="{4FD6E35D-B3B8-49CA-945D-1B951D8B3B67}" type="presParOf" srcId="{84158AD1-BC96-4EDF-9562-DE1CA02AC8DC}" destId="{5BF75EDC-9AF4-4D77-B8D1-20FEEEC2F0D8}" srcOrd="4" destOrd="0" presId="urn:microsoft.com/office/officeart/2005/8/layout/chevron1"/>
    <dgm:cxn modelId="{7F6445B2-73DA-465F-9B09-F0AC39384FD8}" type="presParOf" srcId="{84158AD1-BC96-4EDF-9562-DE1CA02AC8DC}" destId="{F64A9D78-1A97-4022-A896-2E8D99C8BDF3}" srcOrd="5" destOrd="0" presId="urn:microsoft.com/office/officeart/2005/8/layout/chevron1"/>
    <dgm:cxn modelId="{703ECD68-2255-4CEF-8856-FC08A3D63AEE}" type="presParOf" srcId="{84158AD1-BC96-4EDF-9562-DE1CA02AC8DC}" destId="{0C9E00E5-616A-4DD3-A6CC-09BB5C59066D}" srcOrd="6" destOrd="0" presId="urn:microsoft.com/office/officeart/2005/8/layout/chevron1"/>
    <dgm:cxn modelId="{28564825-9C53-4D81-A74D-6F7798E344DD}" type="presParOf" srcId="{84158AD1-BC96-4EDF-9562-DE1CA02AC8DC}" destId="{8019CD82-11EC-4CEC-9E4D-DCCD6495691F}" srcOrd="7" destOrd="0" presId="urn:microsoft.com/office/officeart/2005/8/layout/chevron1"/>
    <dgm:cxn modelId="{DF6260C6-9EE3-4966-B37F-6807818500D1}" type="presParOf" srcId="{84158AD1-BC96-4EDF-9562-DE1CA02AC8DC}" destId="{5475B389-83AA-48AB-A11F-E6140D7F40BA}" srcOrd="8" destOrd="0" presId="urn:microsoft.com/office/officeart/2005/8/layout/chevron1"/>
    <dgm:cxn modelId="{7602C3E7-6E23-4DD2-AAAA-D086F7BF7E5E}" type="presParOf" srcId="{84158AD1-BC96-4EDF-9562-DE1CA02AC8DC}" destId="{8A528327-C1E9-44CF-AD16-DEE09D599C28}" srcOrd="9" destOrd="0" presId="urn:microsoft.com/office/officeart/2005/8/layout/chevron1"/>
    <dgm:cxn modelId="{5795E120-34B6-4A92-9129-17D895A8998E}" type="presParOf" srcId="{84158AD1-BC96-4EDF-9562-DE1CA02AC8DC}" destId="{8B921E4B-7BB9-43B7-A20F-4219100A6314}" srcOrd="10" destOrd="0" presId="urn:microsoft.com/office/officeart/2005/8/layout/chevron1"/>
    <dgm:cxn modelId="{5B4DDBD3-7F8C-4D5D-97E4-2A35839B2255}" type="presParOf" srcId="{84158AD1-BC96-4EDF-9562-DE1CA02AC8DC}" destId="{7E980CDF-8D75-4D59-9115-A3CE2BE3AFC4}" srcOrd="11" destOrd="0" presId="urn:microsoft.com/office/officeart/2005/8/layout/chevron1"/>
    <dgm:cxn modelId="{38B97115-135C-4F62-B8B9-F5953EE5FCA5}" type="presParOf" srcId="{84158AD1-BC96-4EDF-9562-DE1CA02AC8DC}" destId="{0043EA8E-E4EB-46EC-9757-9BF293B05FB3}" srcOrd="12" destOrd="0" presId="urn:microsoft.com/office/officeart/2005/8/layout/chevron1"/>
    <dgm:cxn modelId="{090E1C17-5CB9-4B90-ACE3-E117E132A32A}" type="presParOf" srcId="{84158AD1-BC96-4EDF-9562-DE1CA02AC8DC}" destId="{22EB5CE5-F4DB-4F2B-A33A-F5935D38FF10}" srcOrd="13" destOrd="0" presId="urn:microsoft.com/office/officeart/2005/8/layout/chevron1"/>
    <dgm:cxn modelId="{23866774-A051-419C-8E19-29D3E482293B}" type="presParOf" srcId="{84158AD1-BC96-4EDF-9562-DE1CA02AC8DC}" destId="{D4CB45D7-ECEB-4F8A-A16C-7B246DF47214}" srcOrd="14" destOrd="0" presId="urn:microsoft.com/office/officeart/2005/8/layout/chevron1"/>
  </dgm:cxnLst>
  <dgm:bg/>
  <dgm:whole/>
  <dgm:extLst>
    <a:ext uri="http://schemas.microsoft.com/office/drawing/2008/diagram">
      <dsp:dataModelExt xmlns:dsp="http://schemas.microsoft.com/office/drawing/2008/diagram" relId="rId11"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AD75D7BA-EFB2-44F2-A516-4ABAC29955FE}">
      <dsp:nvSpPr>
        <dsp:cNvPr id="0" name=""/>
        <dsp:cNvSpPr/>
      </dsp:nvSpPr>
      <dsp:spPr>
        <a:xfrm>
          <a:off x="386155" y="3375"/>
          <a:ext cx="1009057" cy="605434"/>
        </a:xfrm>
        <a:prstGeom prst="roundRect">
          <a:avLst>
            <a:gd name="adj" fmla="val 10000"/>
          </a:avLst>
        </a:prstGeom>
        <a:solidFill>
          <a:schemeClr val="accent4">
            <a:hueOff val="0"/>
            <a:satOff val="0"/>
            <a:lumOff val="0"/>
            <a:alphaOff val="0"/>
          </a:schemeClr>
        </a:solidFill>
        <a:ln w="12700" cap="flat" cmpd="sng" algn="ctr">
          <a:noFill/>
          <a:prstDash val="solid"/>
          <a:miter lim="800000"/>
        </a:ln>
        <a:effectLst>
          <a:outerShdw blurRad="149987" dist="250190" dir="8460000" algn="ctr" rotWithShape="0">
            <a:srgbClr val="000000">
              <a:alpha val="28000"/>
            </a:srgbClr>
          </a:outerShdw>
        </a:effectLst>
        <a:scene3d>
          <a:camera prst="orthographicFront">
            <a:rot lat="0" lon="0" rev="0"/>
          </a:camera>
          <a:lightRig rig="contrasting" dir="t">
            <a:rot lat="0" lon="0" rev="1500000"/>
          </a:lightRig>
        </a:scene3d>
        <a:sp3d prstMaterial="metal">
          <a:bevelT w="88900" h="88900"/>
        </a:sp3d>
      </dsp:spPr>
      <dsp:style>
        <a:lnRef idx="2">
          <a:scrgbClr r="0" g="0" b="0"/>
        </a:lnRef>
        <a:fillRef idx="1">
          <a:scrgbClr r="0" g="0" b="0"/>
        </a:fillRef>
        <a:effectRef idx="0">
          <a:scrgbClr r="0" g="0" b="0"/>
        </a:effectRef>
        <a:fontRef idx="minor">
          <a:schemeClr val="lt1"/>
        </a:fontRef>
      </dsp:style>
      <dsp:txBody>
        <a:bodyPr spcFirstLastPara="0" vert="horz" wrap="square" lIns="53340" tIns="53340" rIns="53340" bIns="53340" numCol="1" spcCol="1270" anchor="ctr" anchorCtr="0">
          <a:noAutofit/>
        </a:bodyPr>
        <a:lstStyle/>
        <a:p>
          <a:pPr marL="0" lvl="0" indent="0" algn="ctr" defTabSz="622300">
            <a:lnSpc>
              <a:spcPct val="90000"/>
            </a:lnSpc>
            <a:spcBef>
              <a:spcPct val="0"/>
            </a:spcBef>
            <a:spcAft>
              <a:spcPct val="35000"/>
            </a:spcAft>
            <a:buNone/>
          </a:pPr>
          <a:r>
            <a:rPr lang="en-US" sz="1400" kern="1200"/>
            <a:t>Etusivu</a:t>
          </a:r>
        </a:p>
      </dsp:txBody>
      <dsp:txXfrm>
        <a:off x="403888" y="21108"/>
        <a:ext cx="973591" cy="569968"/>
      </dsp:txXfrm>
    </dsp:sp>
    <dsp:sp modelId="{B4A2442E-FAFA-473A-A28F-6CBFBF8E3792}">
      <dsp:nvSpPr>
        <dsp:cNvPr id="0" name=""/>
        <dsp:cNvSpPr/>
      </dsp:nvSpPr>
      <dsp:spPr>
        <a:xfrm>
          <a:off x="1484010" y="180969"/>
          <a:ext cx="213920" cy="250246"/>
        </a:xfrm>
        <a:prstGeom prst="rightArrow">
          <a:avLst>
            <a:gd name="adj1" fmla="val 60000"/>
            <a:gd name="adj2" fmla="val 50000"/>
          </a:avLst>
        </a:prstGeom>
        <a:solidFill>
          <a:schemeClr val="accent4">
            <a:hueOff val="0"/>
            <a:satOff val="0"/>
            <a:lumOff val="0"/>
            <a:alphaOff val="0"/>
          </a:schemeClr>
        </a:solidFill>
        <a:ln>
          <a:noFill/>
        </a:ln>
        <a:effectLst>
          <a:outerShdw blurRad="149987" dist="250190" dir="8460000" algn="ctr" rotWithShape="0">
            <a:srgbClr val="000000">
              <a:alpha val="28000"/>
            </a:srgbClr>
          </a:outerShdw>
        </a:effectLst>
        <a:scene3d>
          <a:camera prst="orthographicFront">
            <a:rot lat="0" lon="0" rev="0"/>
          </a:camera>
          <a:lightRig rig="contrasting" dir="t">
            <a:rot lat="0" lon="0" rev="1500000"/>
          </a:lightRig>
        </a:scene3d>
        <a:sp3d prstMaterial="metal">
          <a:bevelT w="88900" h="88900"/>
        </a:sp3d>
      </dsp:spPr>
      <dsp:style>
        <a:lnRef idx="0">
          <a:scrgbClr r="0" g="0" b="0"/>
        </a:lnRef>
        <a:fillRef idx="1">
          <a:scrgbClr r="0" g="0" b="0"/>
        </a:fillRef>
        <a:effectRef idx="0">
          <a:scrgbClr r="0" g="0" b="0"/>
        </a:effectRef>
        <a:fontRef idx="minor">
          <a:schemeClr val="lt1"/>
        </a:fontRef>
      </dsp:style>
      <dsp:txBody>
        <a:bodyPr spcFirstLastPara="0" vert="horz" wrap="square" lIns="0" tIns="0" rIns="0" bIns="0" numCol="1" spcCol="1270" anchor="ctr" anchorCtr="0">
          <a:noAutofit/>
        </a:bodyPr>
        <a:lstStyle/>
        <a:p>
          <a:pPr marL="0" lvl="0" indent="0" algn="ctr" defTabSz="488950">
            <a:lnSpc>
              <a:spcPct val="90000"/>
            </a:lnSpc>
            <a:spcBef>
              <a:spcPct val="0"/>
            </a:spcBef>
            <a:spcAft>
              <a:spcPct val="35000"/>
            </a:spcAft>
            <a:buNone/>
          </a:pPr>
          <a:endParaRPr lang="en-US" sz="1100" kern="1200"/>
        </a:p>
      </dsp:txBody>
      <dsp:txXfrm>
        <a:off x="1484010" y="231018"/>
        <a:ext cx="149744" cy="150148"/>
      </dsp:txXfrm>
    </dsp:sp>
    <dsp:sp modelId="{44604B87-F586-4073-9E9A-64665BC69D25}">
      <dsp:nvSpPr>
        <dsp:cNvPr id="0" name=""/>
        <dsp:cNvSpPr/>
      </dsp:nvSpPr>
      <dsp:spPr>
        <a:xfrm>
          <a:off x="1798836" y="3375"/>
          <a:ext cx="1009057" cy="605434"/>
        </a:xfrm>
        <a:prstGeom prst="roundRect">
          <a:avLst>
            <a:gd name="adj" fmla="val 10000"/>
          </a:avLst>
        </a:prstGeom>
        <a:solidFill>
          <a:schemeClr val="bg2">
            <a:lumMod val="90000"/>
          </a:schemeClr>
        </a:solidFill>
        <a:ln w="12700" cap="flat" cmpd="sng" algn="ctr">
          <a:noFill/>
          <a:prstDash val="solid"/>
          <a:miter lim="800000"/>
        </a:ln>
        <a:effectLst>
          <a:outerShdw blurRad="149987" dist="250190" dir="8460000" algn="ctr" rotWithShape="0">
            <a:srgbClr val="000000">
              <a:alpha val="28000"/>
            </a:srgbClr>
          </a:outerShdw>
        </a:effectLst>
        <a:scene3d>
          <a:camera prst="orthographicFront">
            <a:rot lat="0" lon="0" rev="0"/>
          </a:camera>
          <a:lightRig rig="contrasting" dir="t">
            <a:rot lat="0" lon="0" rev="1500000"/>
          </a:lightRig>
        </a:scene3d>
        <a:sp3d prstMaterial="metal">
          <a:bevelT w="88900" h="88900"/>
        </a:sp3d>
      </dsp:spPr>
      <dsp:style>
        <a:lnRef idx="2">
          <a:scrgbClr r="0" g="0" b="0"/>
        </a:lnRef>
        <a:fillRef idx="1">
          <a:scrgbClr r="0" g="0" b="0"/>
        </a:fillRef>
        <a:effectRef idx="0">
          <a:scrgbClr r="0" g="0" b="0"/>
        </a:effectRef>
        <a:fontRef idx="minor">
          <a:schemeClr val="lt1"/>
        </a:fontRef>
      </dsp:style>
      <dsp:txBody>
        <a:bodyPr spcFirstLastPara="0" vert="horz" wrap="square" lIns="45720" tIns="45720" rIns="45720" bIns="45720" numCol="1" spcCol="1270" anchor="ctr" anchorCtr="0">
          <a:noAutofit/>
        </a:bodyPr>
        <a:lstStyle/>
        <a:p>
          <a:pPr marL="0" lvl="0" indent="0" algn="ctr" defTabSz="533400">
            <a:lnSpc>
              <a:spcPct val="90000"/>
            </a:lnSpc>
            <a:spcBef>
              <a:spcPct val="0"/>
            </a:spcBef>
            <a:spcAft>
              <a:spcPct val="35000"/>
            </a:spcAft>
            <a:buNone/>
          </a:pPr>
          <a:r>
            <a:rPr lang="en-US" sz="1200" kern="1200"/>
            <a:t>Ohje</a:t>
          </a:r>
        </a:p>
      </dsp:txBody>
      <dsp:txXfrm>
        <a:off x="1816569" y="21108"/>
        <a:ext cx="973591" cy="569968"/>
      </dsp:txXfrm>
    </dsp:sp>
    <dsp:sp modelId="{6AEFC486-1FA3-4EA6-ABD7-EBCCF4D843D8}">
      <dsp:nvSpPr>
        <dsp:cNvPr id="0" name=""/>
        <dsp:cNvSpPr/>
      </dsp:nvSpPr>
      <dsp:spPr>
        <a:xfrm rot="5400000">
          <a:off x="2196405" y="679444"/>
          <a:ext cx="213920" cy="250246"/>
        </a:xfrm>
        <a:prstGeom prst="rightArrow">
          <a:avLst>
            <a:gd name="adj1" fmla="val 60000"/>
            <a:gd name="adj2" fmla="val 50000"/>
          </a:avLst>
        </a:prstGeom>
        <a:solidFill>
          <a:schemeClr val="bg1">
            <a:lumMod val="75000"/>
          </a:schemeClr>
        </a:solidFill>
        <a:ln>
          <a:noFill/>
        </a:ln>
        <a:effectLst>
          <a:outerShdw blurRad="149987" dist="250190" dir="8460000" algn="ctr" rotWithShape="0">
            <a:srgbClr val="000000">
              <a:alpha val="28000"/>
            </a:srgbClr>
          </a:outerShdw>
        </a:effectLst>
        <a:scene3d>
          <a:camera prst="orthographicFront">
            <a:rot lat="0" lon="0" rev="0"/>
          </a:camera>
          <a:lightRig rig="contrasting" dir="t">
            <a:rot lat="0" lon="0" rev="1500000"/>
          </a:lightRig>
        </a:scene3d>
        <a:sp3d prstMaterial="metal">
          <a:bevelT w="88900" h="88900"/>
        </a:sp3d>
      </dsp:spPr>
      <dsp:style>
        <a:lnRef idx="0">
          <a:scrgbClr r="0" g="0" b="0"/>
        </a:lnRef>
        <a:fillRef idx="1">
          <a:scrgbClr r="0" g="0" b="0"/>
        </a:fillRef>
        <a:effectRef idx="0">
          <a:scrgbClr r="0" g="0" b="0"/>
        </a:effectRef>
        <a:fontRef idx="minor">
          <a:schemeClr val="lt1"/>
        </a:fontRef>
      </dsp:style>
      <dsp:txBody>
        <a:bodyPr spcFirstLastPara="0" vert="horz" wrap="square" lIns="0" tIns="0" rIns="0" bIns="0" numCol="1" spcCol="1270" anchor="ctr" anchorCtr="0">
          <a:noAutofit/>
        </a:bodyPr>
        <a:lstStyle/>
        <a:p>
          <a:pPr marL="0" lvl="0" indent="0" algn="ctr" defTabSz="488950">
            <a:lnSpc>
              <a:spcPct val="90000"/>
            </a:lnSpc>
            <a:spcBef>
              <a:spcPct val="0"/>
            </a:spcBef>
            <a:spcAft>
              <a:spcPct val="35000"/>
            </a:spcAft>
            <a:buNone/>
          </a:pPr>
          <a:endParaRPr lang="en-US" sz="1100" kern="1200"/>
        </a:p>
      </dsp:txBody>
      <dsp:txXfrm rot="-5400000">
        <a:off x="2228291" y="697607"/>
        <a:ext cx="150148" cy="149744"/>
      </dsp:txXfrm>
    </dsp:sp>
    <dsp:sp modelId="{0A9A3233-B3CA-4FB2-BCAB-0CF8B32D0A58}">
      <dsp:nvSpPr>
        <dsp:cNvPr id="0" name=""/>
        <dsp:cNvSpPr/>
      </dsp:nvSpPr>
      <dsp:spPr>
        <a:xfrm>
          <a:off x="1798836" y="1012433"/>
          <a:ext cx="1009057" cy="605434"/>
        </a:xfrm>
        <a:prstGeom prst="roundRect">
          <a:avLst>
            <a:gd name="adj" fmla="val 10000"/>
          </a:avLst>
        </a:prstGeom>
        <a:solidFill>
          <a:schemeClr val="accent4">
            <a:hueOff val="1890126"/>
            <a:satOff val="-8721"/>
            <a:lumOff val="321"/>
            <a:alphaOff val="0"/>
          </a:schemeClr>
        </a:solidFill>
        <a:ln w="12700" cap="flat" cmpd="sng" algn="ctr">
          <a:noFill/>
          <a:prstDash val="solid"/>
          <a:miter lim="800000"/>
        </a:ln>
        <a:effectLst>
          <a:outerShdw blurRad="149987" dist="250190" dir="8460000" algn="ctr" rotWithShape="0">
            <a:srgbClr val="000000">
              <a:alpha val="28000"/>
            </a:srgbClr>
          </a:outerShdw>
        </a:effectLst>
        <a:scene3d>
          <a:camera prst="orthographicFront">
            <a:rot lat="0" lon="0" rev="0"/>
          </a:camera>
          <a:lightRig rig="contrasting" dir="t">
            <a:rot lat="0" lon="0" rev="1500000"/>
          </a:lightRig>
        </a:scene3d>
        <a:sp3d prstMaterial="metal">
          <a:bevelT w="88900" h="88900"/>
        </a:sp3d>
      </dsp:spPr>
      <dsp:style>
        <a:lnRef idx="2">
          <a:scrgbClr r="0" g="0" b="0"/>
        </a:lnRef>
        <a:fillRef idx="1">
          <a:scrgbClr r="0" g="0" b="0"/>
        </a:fillRef>
        <a:effectRef idx="0">
          <a:scrgbClr r="0" g="0" b="0"/>
        </a:effectRef>
        <a:fontRef idx="minor">
          <a:schemeClr val="lt1"/>
        </a:fontRef>
      </dsp:style>
      <dsp:txBody>
        <a:bodyPr spcFirstLastPara="0" vert="horz" wrap="square" lIns="53340" tIns="53340" rIns="53340" bIns="53340" numCol="1" spcCol="1270" anchor="ctr" anchorCtr="0">
          <a:noAutofit/>
        </a:bodyPr>
        <a:lstStyle/>
        <a:p>
          <a:pPr marL="0" lvl="0" indent="0" algn="ctr" defTabSz="622300">
            <a:lnSpc>
              <a:spcPct val="90000"/>
            </a:lnSpc>
            <a:spcBef>
              <a:spcPct val="0"/>
            </a:spcBef>
            <a:spcAft>
              <a:spcPct val="35000"/>
            </a:spcAft>
            <a:buNone/>
          </a:pPr>
          <a:r>
            <a:rPr lang="en-US" sz="1400" kern="1200">
              <a:solidFill>
                <a:schemeClr val="bg2">
                  <a:lumMod val="50000"/>
                </a:schemeClr>
              </a:solidFill>
            </a:rPr>
            <a:t>Lähtötiedot</a:t>
          </a:r>
        </a:p>
        <a:p>
          <a:pPr marL="0" lvl="0" indent="0" algn="ctr" defTabSz="622300">
            <a:lnSpc>
              <a:spcPct val="90000"/>
            </a:lnSpc>
            <a:spcBef>
              <a:spcPct val="0"/>
            </a:spcBef>
            <a:spcAft>
              <a:spcPct val="35000"/>
            </a:spcAft>
            <a:buNone/>
          </a:pPr>
          <a:r>
            <a:rPr lang="en-US" sz="1050" kern="1200">
              <a:solidFill>
                <a:schemeClr val="bg2">
                  <a:lumMod val="50000"/>
                </a:schemeClr>
              </a:solidFill>
            </a:rPr>
            <a:t>Energiantarve</a:t>
          </a:r>
          <a:endParaRPr lang="en-US" sz="900" kern="1200">
            <a:solidFill>
              <a:schemeClr val="bg2">
                <a:lumMod val="50000"/>
              </a:schemeClr>
            </a:solidFill>
          </a:endParaRPr>
        </a:p>
      </dsp:txBody>
      <dsp:txXfrm>
        <a:off x="1816569" y="1030166"/>
        <a:ext cx="973591" cy="569968"/>
      </dsp:txXfrm>
    </dsp:sp>
    <dsp:sp modelId="{F08053DE-4890-4928-8C01-5878C62E78F7}">
      <dsp:nvSpPr>
        <dsp:cNvPr id="0" name=""/>
        <dsp:cNvSpPr/>
      </dsp:nvSpPr>
      <dsp:spPr>
        <a:xfrm rot="10800000">
          <a:off x="1496119" y="1190027"/>
          <a:ext cx="213920" cy="250246"/>
        </a:xfrm>
        <a:prstGeom prst="rightArrow">
          <a:avLst>
            <a:gd name="adj1" fmla="val 60000"/>
            <a:gd name="adj2" fmla="val 50000"/>
          </a:avLst>
        </a:prstGeom>
        <a:solidFill>
          <a:schemeClr val="accent4">
            <a:hueOff val="2079139"/>
            <a:satOff val="-9594"/>
            <a:lumOff val="353"/>
            <a:alphaOff val="0"/>
          </a:schemeClr>
        </a:solidFill>
        <a:ln>
          <a:noFill/>
        </a:ln>
        <a:effectLst>
          <a:outerShdw blurRad="149987" dist="250190" dir="8460000" algn="ctr" rotWithShape="0">
            <a:srgbClr val="000000">
              <a:alpha val="28000"/>
            </a:srgbClr>
          </a:outerShdw>
        </a:effectLst>
        <a:scene3d>
          <a:camera prst="orthographicFront">
            <a:rot lat="0" lon="0" rev="0"/>
          </a:camera>
          <a:lightRig rig="contrasting" dir="t">
            <a:rot lat="0" lon="0" rev="1500000"/>
          </a:lightRig>
        </a:scene3d>
        <a:sp3d prstMaterial="metal">
          <a:bevelT w="88900" h="88900"/>
        </a:sp3d>
      </dsp:spPr>
      <dsp:style>
        <a:lnRef idx="0">
          <a:scrgbClr r="0" g="0" b="0"/>
        </a:lnRef>
        <a:fillRef idx="1">
          <a:scrgbClr r="0" g="0" b="0"/>
        </a:fillRef>
        <a:effectRef idx="0">
          <a:scrgbClr r="0" g="0" b="0"/>
        </a:effectRef>
        <a:fontRef idx="minor">
          <a:schemeClr val="lt1"/>
        </a:fontRef>
      </dsp:style>
      <dsp:txBody>
        <a:bodyPr spcFirstLastPara="0" vert="horz" wrap="square" lIns="0" tIns="0" rIns="0" bIns="0" numCol="1" spcCol="1270" anchor="ctr" anchorCtr="0">
          <a:noAutofit/>
        </a:bodyPr>
        <a:lstStyle/>
        <a:p>
          <a:pPr marL="0" lvl="0" indent="0" algn="ctr" defTabSz="488950">
            <a:lnSpc>
              <a:spcPct val="90000"/>
            </a:lnSpc>
            <a:spcBef>
              <a:spcPct val="0"/>
            </a:spcBef>
            <a:spcAft>
              <a:spcPct val="35000"/>
            </a:spcAft>
            <a:buNone/>
          </a:pPr>
          <a:endParaRPr lang="en-US" sz="1100" kern="1200"/>
        </a:p>
      </dsp:txBody>
      <dsp:txXfrm rot="10800000">
        <a:off x="1560295" y="1240076"/>
        <a:ext cx="149744" cy="150148"/>
      </dsp:txXfrm>
    </dsp:sp>
    <dsp:sp modelId="{F17B1705-CB0C-4B5E-B019-714183791962}">
      <dsp:nvSpPr>
        <dsp:cNvPr id="0" name=""/>
        <dsp:cNvSpPr/>
      </dsp:nvSpPr>
      <dsp:spPr>
        <a:xfrm>
          <a:off x="386155" y="1012433"/>
          <a:ext cx="1009057" cy="605434"/>
        </a:xfrm>
        <a:prstGeom prst="roundRect">
          <a:avLst>
            <a:gd name="adj" fmla="val 10000"/>
          </a:avLst>
        </a:prstGeom>
        <a:solidFill>
          <a:schemeClr val="accent6">
            <a:lumMod val="40000"/>
            <a:lumOff val="60000"/>
          </a:schemeClr>
        </a:solidFill>
        <a:ln w="12700" cap="flat" cmpd="sng" algn="ctr">
          <a:noFill/>
          <a:prstDash val="solid"/>
          <a:miter lim="800000"/>
        </a:ln>
        <a:effectLst>
          <a:outerShdw blurRad="149987" dist="250190" dir="8460000" algn="ctr" rotWithShape="0">
            <a:srgbClr val="000000">
              <a:alpha val="28000"/>
            </a:srgbClr>
          </a:outerShdw>
        </a:effectLst>
        <a:scene3d>
          <a:camera prst="orthographicFront">
            <a:rot lat="0" lon="0" rev="0"/>
          </a:camera>
          <a:lightRig rig="contrasting" dir="t">
            <a:rot lat="0" lon="0" rev="1500000"/>
          </a:lightRig>
        </a:scene3d>
        <a:sp3d prstMaterial="metal">
          <a:bevelT w="88900" h="88900"/>
        </a:sp3d>
      </dsp:spPr>
      <dsp:style>
        <a:lnRef idx="2">
          <a:scrgbClr r="0" g="0" b="0"/>
        </a:lnRef>
        <a:fillRef idx="1">
          <a:scrgbClr r="0" g="0" b="0"/>
        </a:fillRef>
        <a:effectRef idx="0">
          <a:scrgbClr r="0" g="0" b="0"/>
        </a:effectRef>
        <a:fontRef idx="minor">
          <a:schemeClr val="lt1"/>
        </a:fontRef>
      </dsp:style>
      <dsp:txBody>
        <a:bodyPr spcFirstLastPara="0" vert="horz" wrap="square" lIns="53340" tIns="53340" rIns="53340" bIns="53340" numCol="1" spcCol="1270" anchor="ctr" anchorCtr="0">
          <a:noAutofit/>
        </a:bodyPr>
        <a:lstStyle/>
        <a:p>
          <a:pPr marL="0" lvl="0" indent="0" algn="ctr" defTabSz="622300">
            <a:lnSpc>
              <a:spcPct val="90000"/>
            </a:lnSpc>
            <a:spcBef>
              <a:spcPct val="0"/>
            </a:spcBef>
            <a:spcAft>
              <a:spcPct val="35000"/>
            </a:spcAft>
            <a:buNone/>
          </a:pPr>
          <a:r>
            <a:rPr lang="en-US" sz="1400" kern="1200">
              <a:solidFill>
                <a:schemeClr val="bg2">
                  <a:lumMod val="50000"/>
                </a:schemeClr>
              </a:solidFill>
            </a:rPr>
            <a:t>Rehun-tuotanto</a:t>
          </a:r>
        </a:p>
      </dsp:txBody>
      <dsp:txXfrm>
        <a:off x="403888" y="1030166"/>
        <a:ext cx="973591" cy="569968"/>
      </dsp:txXfrm>
    </dsp:sp>
    <dsp:sp modelId="{A19140E3-FA5A-48D6-8D49-12A9F8919ADC}">
      <dsp:nvSpPr>
        <dsp:cNvPr id="0" name=""/>
        <dsp:cNvSpPr/>
      </dsp:nvSpPr>
      <dsp:spPr>
        <a:xfrm rot="5400000">
          <a:off x="783724" y="1688502"/>
          <a:ext cx="213920" cy="250246"/>
        </a:xfrm>
        <a:prstGeom prst="rightArrow">
          <a:avLst>
            <a:gd name="adj1" fmla="val 60000"/>
            <a:gd name="adj2" fmla="val 50000"/>
          </a:avLst>
        </a:prstGeom>
        <a:solidFill>
          <a:schemeClr val="accent4">
            <a:hueOff val="3118708"/>
            <a:satOff val="-14390"/>
            <a:lumOff val="530"/>
            <a:alphaOff val="0"/>
          </a:schemeClr>
        </a:solidFill>
        <a:ln>
          <a:noFill/>
        </a:ln>
        <a:effectLst>
          <a:outerShdw blurRad="149987" dist="250190" dir="8460000" algn="ctr" rotWithShape="0">
            <a:srgbClr val="000000">
              <a:alpha val="28000"/>
            </a:srgbClr>
          </a:outerShdw>
        </a:effectLst>
        <a:scene3d>
          <a:camera prst="orthographicFront">
            <a:rot lat="0" lon="0" rev="0"/>
          </a:camera>
          <a:lightRig rig="contrasting" dir="t">
            <a:rot lat="0" lon="0" rev="1500000"/>
          </a:lightRig>
        </a:scene3d>
        <a:sp3d prstMaterial="metal">
          <a:bevelT w="88900" h="88900"/>
        </a:sp3d>
      </dsp:spPr>
      <dsp:style>
        <a:lnRef idx="0">
          <a:scrgbClr r="0" g="0" b="0"/>
        </a:lnRef>
        <a:fillRef idx="1">
          <a:scrgbClr r="0" g="0" b="0"/>
        </a:fillRef>
        <a:effectRef idx="0">
          <a:scrgbClr r="0" g="0" b="0"/>
        </a:effectRef>
        <a:fontRef idx="minor">
          <a:schemeClr val="lt1"/>
        </a:fontRef>
      </dsp:style>
      <dsp:txBody>
        <a:bodyPr spcFirstLastPara="0" vert="horz" wrap="square" lIns="0" tIns="0" rIns="0" bIns="0" numCol="1" spcCol="1270" anchor="ctr" anchorCtr="0">
          <a:noAutofit/>
        </a:bodyPr>
        <a:lstStyle/>
        <a:p>
          <a:pPr marL="0" lvl="0" indent="0" algn="ctr" defTabSz="444500">
            <a:lnSpc>
              <a:spcPct val="90000"/>
            </a:lnSpc>
            <a:spcBef>
              <a:spcPct val="0"/>
            </a:spcBef>
            <a:spcAft>
              <a:spcPct val="35000"/>
            </a:spcAft>
            <a:buNone/>
          </a:pPr>
          <a:endParaRPr lang="fi-FI" sz="1000" kern="1200"/>
        </a:p>
      </dsp:txBody>
      <dsp:txXfrm rot="-5400000">
        <a:off x="815610" y="1706665"/>
        <a:ext cx="150148" cy="149744"/>
      </dsp:txXfrm>
    </dsp:sp>
    <dsp:sp modelId="{49D0D488-80FA-4F2E-96DA-10A358313F17}">
      <dsp:nvSpPr>
        <dsp:cNvPr id="0" name=""/>
        <dsp:cNvSpPr/>
      </dsp:nvSpPr>
      <dsp:spPr>
        <a:xfrm>
          <a:off x="386155" y="2021491"/>
          <a:ext cx="1009057" cy="605434"/>
        </a:xfrm>
        <a:prstGeom prst="roundRect">
          <a:avLst>
            <a:gd name="adj" fmla="val 10000"/>
          </a:avLst>
        </a:prstGeom>
        <a:solidFill>
          <a:schemeClr val="accent4">
            <a:hueOff val="3780252"/>
            <a:satOff val="-17443"/>
            <a:lumOff val="642"/>
            <a:alphaOff val="0"/>
          </a:schemeClr>
        </a:solidFill>
        <a:ln w="12700" cap="flat" cmpd="sng" algn="ctr">
          <a:noFill/>
          <a:prstDash val="solid"/>
          <a:miter lim="800000"/>
        </a:ln>
        <a:effectLst>
          <a:outerShdw blurRad="149987" dist="250190" dir="8460000" algn="ctr" rotWithShape="0">
            <a:srgbClr val="000000">
              <a:alpha val="28000"/>
            </a:srgbClr>
          </a:outerShdw>
        </a:effectLst>
        <a:scene3d>
          <a:camera prst="orthographicFront">
            <a:rot lat="0" lon="0" rev="0"/>
          </a:camera>
          <a:lightRig rig="contrasting" dir="t">
            <a:rot lat="0" lon="0" rev="1500000"/>
          </a:lightRig>
        </a:scene3d>
        <a:sp3d prstMaterial="metal">
          <a:bevelT w="88900" h="88900"/>
        </a:sp3d>
      </dsp:spPr>
      <dsp:style>
        <a:lnRef idx="2">
          <a:scrgbClr r="0" g="0" b="0"/>
        </a:lnRef>
        <a:fillRef idx="1">
          <a:scrgbClr r="0" g="0" b="0"/>
        </a:fillRef>
        <a:effectRef idx="0">
          <a:scrgbClr r="0" g="0" b="0"/>
        </a:effectRef>
        <a:fontRef idx="minor">
          <a:schemeClr val="lt1"/>
        </a:fontRef>
      </dsp:style>
      <dsp:txBody>
        <a:bodyPr spcFirstLastPara="0" vert="horz" wrap="square" lIns="45720" tIns="45720" rIns="45720" bIns="45720" numCol="1" spcCol="1270" anchor="ctr" anchorCtr="0">
          <a:noAutofit/>
        </a:bodyPr>
        <a:lstStyle/>
        <a:p>
          <a:pPr marL="0" lvl="0" indent="0" algn="ctr" defTabSz="533400">
            <a:lnSpc>
              <a:spcPct val="90000"/>
            </a:lnSpc>
            <a:spcBef>
              <a:spcPct val="0"/>
            </a:spcBef>
            <a:spcAft>
              <a:spcPct val="35000"/>
            </a:spcAft>
            <a:buNone/>
          </a:pPr>
          <a:r>
            <a:rPr lang="en-US" sz="1200" kern="1200">
              <a:solidFill>
                <a:schemeClr val="bg2">
                  <a:lumMod val="50000"/>
                </a:schemeClr>
              </a:solidFill>
            </a:rPr>
            <a:t>Rehun käyttö, nettosato</a:t>
          </a:r>
        </a:p>
      </dsp:txBody>
      <dsp:txXfrm>
        <a:off x="403888" y="2039224"/>
        <a:ext cx="973591" cy="569968"/>
      </dsp:txXfrm>
    </dsp:sp>
    <dsp:sp modelId="{3B35EF0F-EB42-4414-BDAB-F8615F5368D3}">
      <dsp:nvSpPr>
        <dsp:cNvPr id="0" name=""/>
        <dsp:cNvSpPr/>
      </dsp:nvSpPr>
      <dsp:spPr>
        <a:xfrm>
          <a:off x="1484010" y="2199085"/>
          <a:ext cx="213920" cy="250246"/>
        </a:xfrm>
        <a:prstGeom prst="rightArrow">
          <a:avLst>
            <a:gd name="adj1" fmla="val 60000"/>
            <a:gd name="adj2" fmla="val 50000"/>
          </a:avLst>
        </a:prstGeom>
        <a:solidFill>
          <a:schemeClr val="accent4">
            <a:hueOff val="4158277"/>
            <a:satOff val="-19187"/>
            <a:lumOff val="706"/>
            <a:alphaOff val="0"/>
          </a:schemeClr>
        </a:solidFill>
        <a:ln>
          <a:noFill/>
        </a:ln>
        <a:effectLst>
          <a:outerShdw blurRad="149987" dist="250190" dir="8460000" algn="ctr" rotWithShape="0">
            <a:srgbClr val="000000">
              <a:alpha val="28000"/>
            </a:srgbClr>
          </a:outerShdw>
        </a:effectLst>
        <a:scene3d>
          <a:camera prst="orthographicFront">
            <a:rot lat="0" lon="0" rev="0"/>
          </a:camera>
          <a:lightRig rig="contrasting" dir="t">
            <a:rot lat="0" lon="0" rev="1500000"/>
          </a:lightRig>
        </a:scene3d>
        <a:sp3d prstMaterial="metal">
          <a:bevelT w="88900" h="88900"/>
        </a:sp3d>
      </dsp:spPr>
      <dsp:style>
        <a:lnRef idx="0">
          <a:scrgbClr r="0" g="0" b="0"/>
        </a:lnRef>
        <a:fillRef idx="1">
          <a:scrgbClr r="0" g="0" b="0"/>
        </a:fillRef>
        <a:effectRef idx="0">
          <a:scrgbClr r="0" g="0" b="0"/>
        </a:effectRef>
        <a:fontRef idx="minor">
          <a:schemeClr val="lt1"/>
        </a:fontRef>
      </dsp:style>
      <dsp:txBody>
        <a:bodyPr spcFirstLastPara="0" vert="horz" wrap="square" lIns="0" tIns="0" rIns="0" bIns="0" numCol="1" spcCol="1270" anchor="ctr" anchorCtr="0">
          <a:noAutofit/>
        </a:bodyPr>
        <a:lstStyle/>
        <a:p>
          <a:pPr marL="0" lvl="0" indent="0" algn="ctr" defTabSz="444500">
            <a:lnSpc>
              <a:spcPct val="90000"/>
            </a:lnSpc>
            <a:spcBef>
              <a:spcPct val="0"/>
            </a:spcBef>
            <a:spcAft>
              <a:spcPct val="35000"/>
            </a:spcAft>
            <a:buNone/>
          </a:pPr>
          <a:endParaRPr lang="fi-FI" sz="1000" kern="1200"/>
        </a:p>
      </dsp:txBody>
      <dsp:txXfrm>
        <a:off x="1484010" y="2249134"/>
        <a:ext cx="149744" cy="150148"/>
      </dsp:txXfrm>
    </dsp:sp>
    <dsp:sp modelId="{865B3EAC-508F-4DD9-AFFA-0FCE583E15BC}">
      <dsp:nvSpPr>
        <dsp:cNvPr id="0" name=""/>
        <dsp:cNvSpPr/>
      </dsp:nvSpPr>
      <dsp:spPr>
        <a:xfrm>
          <a:off x="1798836" y="2021491"/>
          <a:ext cx="1009057" cy="605434"/>
        </a:xfrm>
        <a:prstGeom prst="roundRect">
          <a:avLst>
            <a:gd name="adj" fmla="val 10000"/>
          </a:avLst>
        </a:prstGeom>
        <a:solidFill>
          <a:schemeClr val="accent4">
            <a:lumMod val="75000"/>
          </a:schemeClr>
        </a:solidFill>
        <a:ln w="12700" cap="flat" cmpd="sng" algn="ctr">
          <a:noFill/>
          <a:prstDash val="solid"/>
          <a:miter lim="800000"/>
        </a:ln>
        <a:effectLst>
          <a:outerShdw blurRad="149987" dist="250190" dir="8460000" algn="ctr" rotWithShape="0">
            <a:srgbClr val="000000">
              <a:alpha val="28000"/>
            </a:srgbClr>
          </a:outerShdw>
        </a:effectLst>
        <a:scene3d>
          <a:camera prst="orthographicFront">
            <a:rot lat="0" lon="0" rev="0"/>
          </a:camera>
          <a:lightRig rig="contrasting" dir="t">
            <a:rot lat="0" lon="0" rev="1500000"/>
          </a:lightRig>
        </a:scene3d>
        <a:sp3d prstMaterial="metal">
          <a:bevelT w="88900" h="88900"/>
        </a:sp3d>
      </dsp:spPr>
      <dsp:style>
        <a:lnRef idx="2">
          <a:scrgbClr r="0" g="0" b="0"/>
        </a:lnRef>
        <a:fillRef idx="1">
          <a:scrgbClr r="0" g="0" b="0"/>
        </a:fillRef>
        <a:effectRef idx="0">
          <a:scrgbClr r="0" g="0" b="0"/>
        </a:effectRef>
        <a:fontRef idx="minor">
          <a:schemeClr val="lt1"/>
        </a:fontRef>
      </dsp:style>
      <dsp:txBody>
        <a:bodyPr spcFirstLastPara="0" vert="horz" wrap="square" lIns="60960" tIns="60960" rIns="60960" bIns="60960" numCol="1" spcCol="1270" anchor="ctr" anchorCtr="0">
          <a:noAutofit/>
        </a:bodyPr>
        <a:lstStyle/>
        <a:p>
          <a:pPr marL="0" lvl="0" indent="0" algn="ctr" defTabSz="711200">
            <a:lnSpc>
              <a:spcPct val="90000"/>
            </a:lnSpc>
            <a:spcBef>
              <a:spcPct val="0"/>
            </a:spcBef>
            <a:spcAft>
              <a:spcPct val="35000"/>
            </a:spcAft>
            <a:buNone/>
          </a:pPr>
          <a:r>
            <a:rPr lang="en-US" sz="1600" kern="1200">
              <a:solidFill>
                <a:schemeClr val="accent6">
                  <a:lumMod val="50000"/>
                </a:schemeClr>
              </a:solidFill>
            </a:rPr>
            <a:t>Hävikki</a:t>
          </a:r>
        </a:p>
      </dsp:txBody>
      <dsp:txXfrm>
        <a:off x="1816569" y="2039224"/>
        <a:ext cx="973591" cy="569968"/>
      </dsp:txXfrm>
    </dsp:sp>
    <dsp:sp modelId="{85A1821D-26F5-41DA-B137-722A495C112A}">
      <dsp:nvSpPr>
        <dsp:cNvPr id="0" name=""/>
        <dsp:cNvSpPr/>
      </dsp:nvSpPr>
      <dsp:spPr>
        <a:xfrm rot="5400000">
          <a:off x="2196405" y="2697559"/>
          <a:ext cx="213920" cy="250246"/>
        </a:xfrm>
        <a:prstGeom prst="rightArrow">
          <a:avLst>
            <a:gd name="adj1" fmla="val 60000"/>
            <a:gd name="adj2" fmla="val 50000"/>
          </a:avLst>
        </a:prstGeom>
        <a:solidFill>
          <a:schemeClr val="accent4">
            <a:lumMod val="75000"/>
          </a:schemeClr>
        </a:solidFill>
        <a:ln>
          <a:noFill/>
        </a:ln>
        <a:effectLst>
          <a:outerShdw blurRad="149987" dist="250190" dir="8460000" algn="ctr" rotWithShape="0">
            <a:srgbClr val="000000">
              <a:alpha val="28000"/>
            </a:srgbClr>
          </a:outerShdw>
        </a:effectLst>
        <a:scene3d>
          <a:camera prst="orthographicFront">
            <a:rot lat="0" lon="0" rev="0"/>
          </a:camera>
          <a:lightRig rig="contrasting" dir="t">
            <a:rot lat="0" lon="0" rev="1500000"/>
          </a:lightRig>
        </a:scene3d>
        <a:sp3d prstMaterial="metal">
          <a:bevelT w="88900" h="88900"/>
        </a:sp3d>
      </dsp:spPr>
      <dsp:style>
        <a:lnRef idx="0">
          <a:scrgbClr r="0" g="0" b="0"/>
        </a:lnRef>
        <a:fillRef idx="1">
          <a:scrgbClr r="0" g="0" b="0"/>
        </a:fillRef>
        <a:effectRef idx="0">
          <a:scrgbClr r="0" g="0" b="0"/>
        </a:effectRef>
        <a:fontRef idx="minor">
          <a:schemeClr val="lt1"/>
        </a:fontRef>
      </dsp:style>
      <dsp:txBody>
        <a:bodyPr spcFirstLastPara="0" vert="horz" wrap="square" lIns="0" tIns="0" rIns="0" bIns="0" numCol="1" spcCol="1270" anchor="ctr" anchorCtr="0">
          <a:noAutofit/>
        </a:bodyPr>
        <a:lstStyle/>
        <a:p>
          <a:pPr marL="0" lvl="0" indent="0" algn="ctr" defTabSz="488950">
            <a:lnSpc>
              <a:spcPct val="90000"/>
            </a:lnSpc>
            <a:spcBef>
              <a:spcPct val="0"/>
            </a:spcBef>
            <a:spcAft>
              <a:spcPct val="35000"/>
            </a:spcAft>
            <a:buNone/>
          </a:pPr>
          <a:endParaRPr lang="en-US" sz="1100" kern="1200"/>
        </a:p>
      </dsp:txBody>
      <dsp:txXfrm rot="-5400000">
        <a:off x="2228291" y="2715722"/>
        <a:ext cx="150148" cy="149744"/>
      </dsp:txXfrm>
    </dsp:sp>
    <dsp:sp modelId="{0449F9EA-3484-4E7B-B27C-410914E11F2C}">
      <dsp:nvSpPr>
        <dsp:cNvPr id="0" name=""/>
        <dsp:cNvSpPr/>
      </dsp:nvSpPr>
      <dsp:spPr>
        <a:xfrm>
          <a:off x="1798836" y="3030549"/>
          <a:ext cx="1009057" cy="605434"/>
        </a:xfrm>
        <a:prstGeom prst="roundRect">
          <a:avLst>
            <a:gd name="adj" fmla="val 10000"/>
          </a:avLst>
        </a:prstGeom>
        <a:solidFill>
          <a:srgbClr val="92D050"/>
        </a:solidFill>
        <a:ln w="12700" cap="flat" cmpd="sng" algn="ctr">
          <a:noFill/>
          <a:prstDash val="solid"/>
          <a:miter lim="800000"/>
        </a:ln>
        <a:effectLst>
          <a:outerShdw blurRad="149987" dist="250190" dir="8460000" algn="ctr" rotWithShape="0">
            <a:srgbClr val="000000">
              <a:alpha val="28000"/>
            </a:srgbClr>
          </a:outerShdw>
        </a:effectLst>
        <a:scene3d>
          <a:camera prst="orthographicFront">
            <a:rot lat="0" lon="0" rev="0"/>
          </a:camera>
          <a:lightRig rig="contrasting" dir="t">
            <a:rot lat="0" lon="0" rev="1500000"/>
          </a:lightRig>
        </a:scene3d>
        <a:sp3d prstMaterial="metal">
          <a:bevelT w="88900" h="88900"/>
        </a:sp3d>
      </dsp:spPr>
      <dsp:style>
        <a:lnRef idx="2">
          <a:scrgbClr r="0" g="0" b="0"/>
        </a:lnRef>
        <a:fillRef idx="1">
          <a:scrgbClr r="0" g="0" b="0"/>
        </a:fillRef>
        <a:effectRef idx="0">
          <a:scrgbClr r="0" g="0" b="0"/>
        </a:effectRef>
        <a:fontRef idx="minor">
          <a:schemeClr val="lt1"/>
        </a:fontRef>
      </dsp:style>
      <dsp:txBody>
        <a:bodyPr spcFirstLastPara="0" vert="horz" wrap="square" lIns="53340" tIns="53340" rIns="53340" bIns="53340" numCol="1" spcCol="1270" anchor="ctr" anchorCtr="0">
          <a:noAutofit/>
        </a:bodyPr>
        <a:lstStyle/>
        <a:p>
          <a:pPr marL="0" lvl="0" indent="0" algn="ctr" defTabSz="622300">
            <a:lnSpc>
              <a:spcPct val="90000"/>
            </a:lnSpc>
            <a:spcBef>
              <a:spcPct val="0"/>
            </a:spcBef>
            <a:spcAft>
              <a:spcPct val="35000"/>
            </a:spcAft>
            <a:buNone/>
          </a:pPr>
          <a:r>
            <a:rPr lang="en-US" sz="1400" kern="1200">
              <a:solidFill>
                <a:schemeClr val="accent6">
                  <a:lumMod val="50000"/>
                </a:schemeClr>
              </a:solidFill>
              <a:latin typeface="+mj-lt"/>
            </a:rPr>
            <a:t>Säilörehun tuotanto-kustannus</a:t>
          </a:r>
          <a:endParaRPr lang="en-US" sz="1400" kern="1200">
            <a:solidFill>
              <a:srgbClr val="002060"/>
            </a:solidFill>
            <a:latin typeface="+mj-lt"/>
          </a:endParaRPr>
        </a:p>
      </dsp:txBody>
      <dsp:txXfrm>
        <a:off x="1816569" y="3048282"/>
        <a:ext cx="973591" cy="569968"/>
      </dsp:txXfrm>
    </dsp:sp>
    <dsp:sp modelId="{2DA6D47A-94EC-459A-A3F3-38D7BF105575}">
      <dsp:nvSpPr>
        <dsp:cNvPr id="0" name=""/>
        <dsp:cNvSpPr/>
      </dsp:nvSpPr>
      <dsp:spPr>
        <a:xfrm rot="10800000">
          <a:off x="1496119" y="3208143"/>
          <a:ext cx="213920" cy="250246"/>
        </a:xfrm>
        <a:prstGeom prst="rightArrow">
          <a:avLst>
            <a:gd name="adj1" fmla="val 60000"/>
            <a:gd name="adj2" fmla="val 50000"/>
          </a:avLst>
        </a:prstGeom>
        <a:solidFill>
          <a:srgbClr val="92D050"/>
        </a:solidFill>
        <a:ln>
          <a:noFill/>
        </a:ln>
        <a:effectLst>
          <a:outerShdw blurRad="149987" dist="250190" dir="8460000" algn="ctr" rotWithShape="0">
            <a:srgbClr val="000000">
              <a:alpha val="28000"/>
            </a:srgbClr>
          </a:outerShdw>
        </a:effectLst>
        <a:scene3d>
          <a:camera prst="orthographicFront">
            <a:rot lat="0" lon="0" rev="0"/>
          </a:camera>
          <a:lightRig rig="contrasting" dir="t">
            <a:rot lat="0" lon="0" rev="1500000"/>
          </a:lightRig>
        </a:scene3d>
        <a:sp3d prstMaterial="metal">
          <a:bevelT w="88900" h="88900"/>
        </a:sp3d>
      </dsp:spPr>
      <dsp:style>
        <a:lnRef idx="0">
          <a:scrgbClr r="0" g="0" b="0"/>
        </a:lnRef>
        <a:fillRef idx="1">
          <a:scrgbClr r="0" g="0" b="0"/>
        </a:fillRef>
        <a:effectRef idx="0">
          <a:scrgbClr r="0" g="0" b="0"/>
        </a:effectRef>
        <a:fontRef idx="minor">
          <a:schemeClr val="lt1"/>
        </a:fontRef>
      </dsp:style>
      <dsp:txBody>
        <a:bodyPr spcFirstLastPara="0" vert="horz" wrap="square" lIns="0" tIns="0" rIns="0" bIns="0" numCol="1" spcCol="1270" anchor="ctr" anchorCtr="0">
          <a:noAutofit/>
        </a:bodyPr>
        <a:lstStyle/>
        <a:p>
          <a:pPr marL="0" lvl="0" indent="0" algn="ctr" defTabSz="488950">
            <a:lnSpc>
              <a:spcPct val="90000"/>
            </a:lnSpc>
            <a:spcBef>
              <a:spcPct val="0"/>
            </a:spcBef>
            <a:spcAft>
              <a:spcPct val="35000"/>
            </a:spcAft>
            <a:buNone/>
          </a:pPr>
          <a:endParaRPr lang="en-US" sz="1100" kern="1200"/>
        </a:p>
      </dsp:txBody>
      <dsp:txXfrm rot="10800000">
        <a:off x="1560295" y="3258192"/>
        <a:ext cx="149744" cy="150148"/>
      </dsp:txXfrm>
    </dsp:sp>
    <dsp:sp modelId="{BA6E9357-C493-4548-9AC5-609BF44F0028}">
      <dsp:nvSpPr>
        <dsp:cNvPr id="0" name=""/>
        <dsp:cNvSpPr/>
      </dsp:nvSpPr>
      <dsp:spPr>
        <a:xfrm>
          <a:off x="386155" y="3030549"/>
          <a:ext cx="1009057" cy="605434"/>
        </a:xfrm>
        <a:prstGeom prst="roundRect">
          <a:avLst>
            <a:gd name="adj" fmla="val 10000"/>
          </a:avLst>
        </a:prstGeom>
        <a:solidFill>
          <a:srgbClr val="FFCCFF"/>
        </a:solidFill>
        <a:ln w="12700" cap="flat" cmpd="sng" algn="ctr">
          <a:noFill/>
          <a:prstDash val="solid"/>
          <a:miter lim="800000"/>
        </a:ln>
        <a:effectLst>
          <a:outerShdw blurRad="149987" dist="250190" dir="8460000" algn="ctr" rotWithShape="0">
            <a:srgbClr val="000000">
              <a:alpha val="28000"/>
            </a:srgbClr>
          </a:outerShdw>
        </a:effectLst>
        <a:scene3d>
          <a:camera prst="orthographicFront">
            <a:rot lat="0" lon="0" rev="0"/>
          </a:camera>
          <a:lightRig rig="contrasting" dir="t">
            <a:rot lat="0" lon="0" rev="1500000"/>
          </a:lightRig>
        </a:scene3d>
        <a:sp3d prstMaterial="metal">
          <a:bevelT w="88900" h="88900"/>
        </a:sp3d>
      </dsp:spPr>
      <dsp:style>
        <a:lnRef idx="2">
          <a:scrgbClr r="0" g="0" b="0"/>
        </a:lnRef>
        <a:fillRef idx="1">
          <a:scrgbClr r="0" g="0" b="0"/>
        </a:fillRef>
        <a:effectRef idx="0">
          <a:scrgbClr r="0" g="0" b="0"/>
        </a:effectRef>
        <a:fontRef idx="minor">
          <a:schemeClr val="lt1"/>
        </a:fontRef>
      </dsp:style>
      <dsp:txBody>
        <a:bodyPr spcFirstLastPara="0" vert="horz" wrap="square" lIns="53340" tIns="53340" rIns="53340" bIns="53340" numCol="1" spcCol="1270" anchor="ctr" anchorCtr="0">
          <a:noAutofit/>
        </a:bodyPr>
        <a:lstStyle/>
        <a:p>
          <a:pPr marL="0" lvl="0" indent="0" algn="ctr" defTabSz="622300">
            <a:lnSpc>
              <a:spcPct val="90000"/>
            </a:lnSpc>
            <a:spcBef>
              <a:spcPct val="0"/>
            </a:spcBef>
            <a:spcAft>
              <a:spcPct val="35000"/>
            </a:spcAft>
            <a:buNone/>
          </a:pPr>
          <a:r>
            <a:rPr lang="en-US" sz="1400" kern="1200">
              <a:solidFill>
                <a:srgbClr val="002060"/>
              </a:solidFill>
              <a:latin typeface="+mj-lt"/>
            </a:rPr>
            <a:t>Kotieläin tuotanto-kustannus</a:t>
          </a:r>
          <a:endParaRPr lang="en-US" sz="1400" kern="1200">
            <a:latin typeface="+mj-lt"/>
          </a:endParaRPr>
        </a:p>
      </dsp:txBody>
      <dsp:txXfrm>
        <a:off x="403888" y="3048282"/>
        <a:ext cx="973591" cy="569968"/>
      </dsp:txXfrm>
    </dsp:sp>
    <dsp:sp modelId="{946EB20F-7580-4D15-994E-CD153B75CF5C}">
      <dsp:nvSpPr>
        <dsp:cNvPr id="0" name=""/>
        <dsp:cNvSpPr/>
      </dsp:nvSpPr>
      <dsp:spPr>
        <a:xfrm rot="5400000">
          <a:off x="783724" y="3706617"/>
          <a:ext cx="213920" cy="250246"/>
        </a:xfrm>
        <a:prstGeom prst="rightArrow">
          <a:avLst>
            <a:gd name="adj1" fmla="val 60000"/>
            <a:gd name="adj2" fmla="val 50000"/>
          </a:avLst>
        </a:prstGeom>
        <a:solidFill>
          <a:srgbClr val="FFCCFF"/>
        </a:solidFill>
        <a:ln>
          <a:noFill/>
        </a:ln>
        <a:effectLst>
          <a:outerShdw blurRad="149987" dist="250190" dir="8460000" algn="ctr" rotWithShape="0">
            <a:srgbClr val="000000">
              <a:alpha val="28000"/>
            </a:srgbClr>
          </a:outerShdw>
        </a:effectLst>
        <a:scene3d>
          <a:camera prst="orthographicFront">
            <a:rot lat="0" lon="0" rev="0"/>
          </a:camera>
          <a:lightRig rig="contrasting" dir="t">
            <a:rot lat="0" lon="0" rev="1500000"/>
          </a:lightRig>
        </a:scene3d>
        <a:sp3d prstMaterial="metal">
          <a:bevelT w="88900" h="88900"/>
        </a:sp3d>
      </dsp:spPr>
      <dsp:style>
        <a:lnRef idx="0">
          <a:scrgbClr r="0" g="0" b="0"/>
        </a:lnRef>
        <a:fillRef idx="1">
          <a:scrgbClr r="0" g="0" b="0"/>
        </a:fillRef>
        <a:effectRef idx="0">
          <a:scrgbClr r="0" g="0" b="0"/>
        </a:effectRef>
        <a:fontRef idx="minor">
          <a:schemeClr val="lt1"/>
        </a:fontRef>
      </dsp:style>
      <dsp:txBody>
        <a:bodyPr spcFirstLastPara="0" vert="horz" wrap="square" lIns="0" tIns="0" rIns="0" bIns="0" numCol="1" spcCol="1270" anchor="ctr" anchorCtr="0">
          <a:noAutofit/>
        </a:bodyPr>
        <a:lstStyle/>
        <a:p>
          <a:pPr marL="0" lvl="0" indent="0" algn="ctr" defTabSz="488950">
            <a:lnSpc>
              <a:spcPct val="90000"/>
            </a:lnSpc>
            <a:spcBef>
              <a:spcPct val="0"/>
            </a:spcBef>
            <a:spcAft>
              <a:spcPct val="35000"/>
            </a:spcAft>
            <a:buNone/>
          </a:pPr>
          <a:endParaRPr lang="en-US" sz="1100" kern="1200"/>
        </a:p>
      </dsp:txBody>
      <dsp:txXfrm rot="-5400000">
        <a:off x="815610" y="3724780"/>
        <a:ext cx="150148" cy="149744"/>
      </dsp:txXfrm>
    </dsp:sp>
    <dsp:sp modelId="{892969C1-7F75-4DA4-BE74-AF63A9EC4D9B}">
      <dsp:nvSpPr>
        <dsp:cNvPr id="0" name=""/>
        <dsp:cNvSpPr/>
      </dsp:nvSpPr>
      <dsp:spPr>
        <a:xfrm>
          <a:off x="386155" y="4039606"/>
          <a:ext cx="1009057" cy="605434"/>
        </a:xfrm>
        <a:prstGeom prst="roundRect">
          <a:avLst>
            <a:gd name="adj" fmla="val 10000"/>
          </a:avLst>
        </a:prstGeom>
        <a:solidFill>
          <a:schemeClr val="accent6">
            <a:lumMod val="75000"/>
          </a:schemeClr>
        </a:solidFill>
        <a:ln w="12700" cap="flat" cmpd="sng" algn="ctr">
          <a:noFill/>
          <a:prstDash val="solid"/>
          <a:miter lim="800000"/>
        </a:ln>
        <a:effectLst>
          <a:outerShdw blurRad="149987" dist="250190" dir="8460000" algn="ctr" rotWithShape="0">
            <a:srgbClr val="000000">
              <a:alpha val="28000"/>
            </a:srgbClr>
          </a:outerShdw>
        </a:effectLst>
        <a:scene3d>
          <a:camera prst="orthographicFront">
            <a:rot lat="0" lon="0" rev="0"/>
          </a:camera>
          <a:lightRig rig="contrasting" dir="t">
            <a:rot lat="0" lon="0" rev="1500000"/>
          </a:lightRig>
        </a:scene3d>
        <a:sp3d prstMaterial="metal">
          <a:bevelT w="88900" h="88900"/>
        </a:sp3d>
      </dsp:spPr>
      <dsp:style>
        <a:lnRef idx="2">
          <a:scrgbClr r="0" g="0" b="0"/>
        </a:lnRef>
        <a:fillRef idx="1">
          <a:scrgbClr r="0" g="0" b="0"/>
        </a:fillRef>
        <a:effectRef idx="0">
          <a:scrgbClr r="0" g="0" b="0"/>
        </a:effectRef>
        <a:fontRef idx="minor">
          <a:schemeClr val="lt1"/>
        </a:fontRef>
      </dsp:style>
      <dsp:txBody>
        <a:bodyPr spcFirstLastPara="0" vert="horz" wrap="square" lIns="53340" tIns="53340" rIns="53340" bIns="53340" numCol="1" spcCol="1270" anchor="ctr" anchorCtr="0">
          <a:noAutofit/>
        </a:bodyPr>
        <a:lstStyle/>
        <a:p>
          <a:pPr marL="0" lvl="0" indent="0" algn="ctr" defTabSz="622300">
            <a:lnSpc>
              <a:spcPct val="90000"/>
            </a:lnSpc>
            <a:spcBef>
              <a:spcPct val="0"/>
            </a:spcBef>
            <a:spcAft>
              <a:spcPct val="35000"/>
            </a:spcAft>
            <a:buNone/>
          </a:pPr>
          <a:r>
            <a:rPr lang="en-US" sz="1400" kern="1200"/>
            <a:t>Vertailu</a:t>
          </a:r>
        </a:p>
      </dsp:txBody>
      <dsp:txXfrm>
        <a:off x="403888" y="4057339"/>
        <a:ext cx="973591" cy="569968"/>
      </dsp:txXfrm>
    </dsp:sp>
    <dsp:sp modelId="{D60D7558-E70E-4424-A975-65336673B31A}">
      <dsp:nvSpPr>
        <dsp:cNvPr id="0" name=""/>
        <dsp:cNvSpPr/>
      </dsp:nvSpPr>
      <dsp:spPr>
        <a:xfrm>
          <a:off x="1484010" y="4217201"/>
          <a:ext cx="213920" cy="250246"/>
        </a:xfrm>
        <a:prstGeom prst="rightArrow">
          <a:avLst>
            <a:gd name="adj1" fmla="val 60000"/>
            <a:gd name="adj2" fmla="val 50000"/>
          </a:avLst>
        </a:prstGeom>
        <a:solidFill>
          <a:schemeClr val="accent6">
            <a:lumMod val="75000"/>
          </a:schemeClr>
        </a:solidFill>
        <a:ln>
          <a:noFill/>
        </a:ln>
        <a:effectLst>
          <a:outerShdw blurRad="149987" dist="250190" dir="8460000" algn="ctr" rotWithShape="0">
            <a:srgbClr val="000000">
              <a:alpha val="28000"/>
            </a:srgbClr>
          </a:outerShdw>
        </a:effectLst>
        <a:scene3d>
          <a:camera prst="orthographicFront">
            <a:rot lat="0" lon="0" rev="0"/>
          </a:camera>
          <a:lightRig rig="contrasting" dir="t">
            <a:rot lat="0" lon="0" rev="1500000"/>
          </a:lightRig>
        </a:scene3d>
        <a:sp3d prstMaterial="metal">
          <a:bevelT w="88900" h="88900"/>
        </a:sp3d>
      </dsp:spPr>
      <dsp:style>
        <a:lnRef idx="0">
          <a:scrgbClr r="0" g="0" b="0"/>
        </a:lnRef>
        <a:fillRef idx="1">
          <a:scrgbClr r="0" g="0" b="0"/>
        </a:fillRef>
        <a:effectRef idx="0">
          <a:scrgbClr r="0" g="0" b="0"/>
        </a:effectRef>
        <a:fontRef idx="minor">
          <a:schemeClr val="lt1"/>
        </a:fontRef>
      </dsp:style>
      <dsp:txBody>
        <a:bodyPr spcFirstLastPara="0" vert="horz" wrap="square" lIns="0" tIns="0" rIns="0" bIns="0" numCol="1" spcCol="1270" anchor="ctr" anchorCtr="0">
          <a:noAutofit/>
        </a:bodyPr>
        <a:lstStyle/>
        <a:p>
          <a:pPr marL="0" lvl="0" indent="0" algn="ctr" defTabSz="488950">
            <a:lnSpc>
              <a:spcPct val="90000"/>
            </a:lnSpc>
            <a:spcBef>
              <a:spcPct val="0"/>
            </a:spcBef>
            <a:spcAft>
              <a:spcPct val="35000"/>
            </a:spcAft>
            <a:buNone/>
          </a:pPr>
          <a:endParaRPr lang="en-US" sz="1100" kern="1200"/>
        </a:p>
      </dsp:txBody>
      <dsp:txXfrm>
        <a:off x="1484010" y="4267250"/>
        <a:ext cx="149744" cy="150148"/>
      </dsp:txXfrm>
    </dsp:sp>
    <dsp:sp modelId="{0EB580C1-D30B-4446-9399-40D1344A6B26}">
      <dsp:nvSpPr>
        <dsp:cNvPr id="0" name=""/>
        <dsp:cNvSpPr/>
      </dsp:nvSpPr>
      <dsp:spPr>
        <a:xfrm>
          <a:off x="1798836" y="4039606"/>
          <a:ext cx="1009057" cy="605434"/>
        </a:xfrm>
        <a:prstGeom prst="roundRect">
          <a:avLst>
            <a:gd name="adj" fmla="val 10000"/>
          </a:avLst>
        </a:prstGeom>
        <a:solidFill>
          <a:schemeClr val="accent4">
            <a:hueOff val="8505566"/>
            <a:satOff val="-39247"/>
            <a:lumOff val="1444"/>
            <a:alphaOff val="0"/>
          </a:schemeClr>
        </a:solidFill>
        <a:ln w="12700" cap="flat" cmpd="sng" algn="ctr">
          <a:noFill/>
          <a:prstDash val="solid"/>
          <a:miter lim="800000"/>
        </a:ln>
        <a:effectLst>
          <a:outerShdw blurRad="149987" dist="250190" dir="8460000" algn="ctr" rotWithShape="0">
            <a:srgbClr val="000000">
              <a:alpha val="28000"/>
            </a:srgbClr>
          </a:outerShdw>
        </a:effectLst>
        <a:scene3d>
          <a:camera prst="orthographicFront">
            <a:rot lat="0" lon="0" rev="0"/>
          </a:camera>
          <a:lightRig rig="contrasting" dir="t">
            <a:rot lat="0" lon="0" rev="1500000"/>
          </a:lightRig>
        </a:scene3d>
        <a:sp3d prstMaterial="metal">
          <a:bevelT w="88900" h="88900"/>
        </a:sp3d>
      </dsp:spPr>
      <dsp:style>
        <a:lnRef idx="2">
          <a:scrgbClr r="0" g="0" b="0"/>
        </a:lnRef>
        <a:fillRef idx="1">
          <a:scrgbClr r="0" g="0" b="0"/>
        </a:fillRef>
        <a:effectRef idx="0">
          <a:scrgbClr r="0" g="0" b="0"/>
        </a:effectRef>
        <a:fontRef idx="minor">
          <a:schemeClr val="lt1"/>
        </a:fontRef>
      </dsp:style>
      <dsp:txBody>
        <a:bodyPr spcFirstLastPara="0" vert="horz" wrap="square" lIns="53340" tIns="53340" rIns="53340" bIns="53340" numCol="1" spcCol="1270" anchor="ctr" anchorCtr="0">
          <a:noAutofit/>
        </a:bodyPr>
        <a:lstStyle/>
        <a:p>
          <a:pPr marL="0" lvl="0" indent="0" algn="ctr" defTabSz="622300">
            <a:lnSpc>
              <a:spcPct val="90000"/>
            </a:lnSpc>
            <a:spcBef>
              <a:spcPct val="0"/>
            </a:spcBef>
            <a:spcAft>
              <a:spcPct val="35000"/>
            </a:spcAft>
            <a:buNone/>
          </a:pPr>
          <a:r>
            <a:rPr lang="en-US" sz="1400" kern="1200"/>
            <a:t>Testaus ja analyysi</a:t>
          </a:r>
        </a:p>
      </dsp:txBody>
      <dsp:txXfrm>
        <a:off x="1816569" y="4057339"/>
        <a:ext cx="973591" cy="569968"/>
      </dsp:txXfrm>
    </dsp:sp>
    <dsp:sp modelId="{40DAF143-1604-48E3-A57E-04DD104B08A4}">
      <dsp:nvSpPr>
        <dsp:cNvPr id="0" name=""/>
        <dsp:cNvSpPr/>
      </dsp:nvSpPr>
      <dsp:spPr>
        <a:xfrm rot="5400000">
          <a:off x="2196405" y="4715675"/>
          <a:ext cx="213920" cy="250246"/>
        </a:xfrm>
        <a:prstGeom prst="rightArrow">
          <a:avLst>
            <a:gd name="adj1" fmla="val 60000"/>
            <a:gd name="adj2" fmla="val 50000"/>
          </a:avLst>
        </a:prstGeom>
        <a:solidFill>
          <a:srgbClr val="00B0F0"/>
        </a:solidFill>
        <a:ln>
          <a:noFill/>
        </a:ln>
        <a:effectLst>
          <a:outerShdw blurRad="149987" dist="250190" dir="8460000" algn="ctr" rotWithShape="0">
            <a:srgbClr val="000000">
              <a:alpha val="28000"/>
            </a:srgbClr>
          </a:outerShdw>
        </a:effectLst>
        <a:scene3d>
          <a:camera prst="orthographicFront">
            <a:rot lat="0" lon="0" rev="0"/>
          </a:camera>
          <a:lightRig rig="contrasting" dir="t">
            <a:rot lat="0" lon="0" rev="1500000"/>
          </a:lightRig>
        </a:scene3d>
        <a:sp3d prstMaterial="metal">
          <a:bevelT w="88900" h="88900"/>
        </a:sp3d>
      </dsp:spPr>
      <dsp:style>
        <a:lnRef idx="0">
          <a:scrgbClr r="0" g="0" b="0"/>
        </a:lnRef>
        <a:fillRef idx="1">
          <a:scrgbClr r="0" g="0" b="0"/>
        </a:fillRef>
        <a:effectRef idx="0">
          <a:scrgbClr r="0" g="0" b="0"/>
        </a:effectRef>
        <a:fontRef idx="minor">
          <a:schemeClr val="lt1"/>
        </a:fontRef>
      </dsp:style>
      <dsp:txBody>
        <a:bodyPr spcFirstLastPara="0" vert="horz" wrap="square" lIns="0" tIns="0" rIns="0" bIns="0" numCol="1" spcCol="1270" anchor="ctr" anchorCtr="0">
          <a:noAutofit/>
        </a:bodyPr>
        <a:lstStyle/>
        <a:p>
          <a:pPr marL="0" lvl="0" indent="0" algn="ctr" defTabSz="488950">
            <a:lnSpc>
              <a:spcPct val="90000"/>
            </a:lnSpc>
            <a:spcBef>
              <a:spcPct val="0"/>
            </a:spcBef>
            <a:spcAft>
              <a:spcPct val="35000"/>
            </a:spcAft>
            <a:buNone/>
          </a:pPr>
          <a:endParaRPr lang="en-US" sz="1100" kern="1200"/>
        </a:p>
      </dsp:txBody>
      <dsp:txXfrm rot="-5400000">
        <a:off x="2228291" y="4733838"/>
        <a:ext cx="150148" cy="149744"/>
      </dsp:txXfrm>
    </dsp:sp>
    <dsp:sp modelId="{FF37C8AC-22F3-4FF4-A98C-E0D3E047F527}">
      <dsp:nvSpPr>
        <dsp:cNvPr id="0" name=""/>
        <dsp:cNvSpPr/>
      </dsp:nvSpPr>
      <dsp:spPr>
        <a:xfrm>
          <a:off x="1798836" y="5048664"/>
          <a:ext cx="1009057" cy="605434"/>
        </a:xfrm>
        <a:prstGeom prst="roundRect">
          <a:avLst>
            <a:gd name="adj" fmla="val 10000"/>
          </a:avLst>
        </a:prstGeom>
        <a:solidFill>
          <a:schemeClr val="accent4">
            <a:hueOff val="9450630"/>
            <a:satOff val="-43607"/>
            <a:lumOff val="1605"/>
            <a:alphaOff val="0"/>
          </a:schemeClr>
        </a:solidFill>
        <a:ln w="12700" cap="flat" cmpd="sng" algn="ctr">
          <a:noFill/>
          <a:prstDash val="solid"/>
          <a:miter lim="800000"/>
        </a:ln>
        <a:effectLst>
          <a:outerShdw blurRad="149987" dist="250190" dir="8460000" algn="ctr" rotWithShape="0">
            <a:srgbClr val="000000">
              <a:alpha val="28000"/>
            </a:srgbClr>
          </a:outerShdw>
        </a:effectLst>
        <a:scene3d>
          <a:camera prst="orthographicFront">
            <a:rot lat="0" lon="0" rev="0"/>
          </a:camera>
          <a:lightRig rig="contrasting" dir="t">
            <a:rot lat="0" lon="0" rev="1500000"/>
          </a:lightRig>
        </a:scene3d>
        <a:sp3d prstMaterial="metal">
          <a:bevelT w="88900" h="88900"/>
        </a:sp3d>
      </dsp:spPr>
      <dsp:style>
        <a:lnRef idx="2">
          <a:scrgbClr r="0" g="0" b="0"/>
        </a:lnRef>
        <a:fillRef idx="1">
          <a:scrgbClr r="0" g="0" b="0"/>
        </a:fillRef>
        <a:effectRef idx="0">
          <a:scrgbClr r="0" g="0" b="0"/>
        </a:effectRef>
        <a:fontRef idx="minor">
          <a:schemeClr val="lt1"/>
        </a:fontRef>
      </dsp:style>
      <dsp:txBody>
        <a:bodyPr spcFirstLastPara="0" vert="horz" wrap="square" lIns="53340" tIns="53340" rIns="53340" bIns="53340" numCol="1" spcCol="1270" anchor="ctr" anchorCtr="0">
          <a:noAutofit/>
        </a:bodyPr>
        <a:lstStyle/>
        <a:p>
          <a:pPr marL="0" lvl="0" indent="0" algn="ctr" defTabSz="622300">
            <a:lnSpc>
              <a:spcPct val="90000"/>
            </a:lnSpc>
            <a:spcBef>
              <a:spcPct val="0"/>
            </a:spcBef>
            <a:spcAft>
              <a:spcPct val="35000"/>
            </a:spcAft>
            <a:buNone/>
          </a:pPr>
          <a:r>
            <a:rPr lang="en-US" sz="1400" kern="1200"/>
            <a:t>Johto-päätökset</a:t>
          </a:r>
        </a:p>
      </dsp:txBody>
      <dsp:txXfrm>
        <a:off x="1816569" y="5066397"/>
        <a:ext cx="973591" cy="569968"/>
      </dsp:txXfrm>
    </dsp:sp>
    <dsp:sp modelId="{753A4782-2839-41DE-A701-24A7913BE30C}">
      <dsp:nvSpPr>
        <dsp:cNvPr id="0" name=""/>
        <dsp:cNvSpPr/>
      </dsp:nvSpPr>
      <dsp:spPr>
        <a:xfrm rot="10800000">
          <a:off x="1496119" y="5226258"/>
          <a:ext cx="213920" cy="250246"/>
        </a:xfrm>
        <a:prstGeom prst="rightArrow">
          <a:avLst>
            <a:gd name="adj1" fmla="val 60000"/>
            <a:gd name="adj2" fmla="val 50000"/>
          </a:avLst>
        </a:prstGeom>
        <a:solidFill>
          <a:schemeClr val="accent4">
            <a:hueOff val="10395692"/>
            <a:satOff val="-47968"/>
            <a:lumOff val="1765"/>
            <a:alphaOff val="0"/>
          </a:schemeClr>
        </a:solidFill>
        <a:ln>
          <a:noFill/>
        </a:ln>
        <a:effectLst>
          <a:outerShdw blurRad="149987" dist="250190" dir="8460000" algn="ctr" rotWithShape="0">
            <a:srgbClr val="000000">
              <a:alpha val="28000"/>
            </a:srgbClr>
          </a:outerShdw>
        </a:effectLst>
        <a:scene3d>
          <a:camera prst="orthographicFront">
            <a:rot lat="0" lon="0" rev="0"/>
          </a:camera>
          <a:lightRig rig="contrasting" dir="t">
            <a:rot lat="0" lon="0" rev="1500000"/>
          </a:lightRig>
        </a:scene3d>
        <a:sp3d prstMaterial="metal">
          <a:bevelT w="88900" h="88900"/>
        </a:sp3d>
      </dsp:spPr>
      <dsp:style>
        <a:lnRef idx="0">
          <a:scrgbClr r="0" g="0" b="0"/>
        </a:lnRef>
        <a:fillRef idx="1">
          <a:scrgbClr r="0" g="0" b="0"/>
        </a:fillRef>
        <a:effectRef idx="0">
          <a:scrgbClr r="0" g="0" b="0"/>
        </a:effectRef>
        <a:fontRef idx="minor">
          <a:schemeClr val="lt1"/>
        </a:fontRef>
      </dsp:style>
      <dsp:txBody>
        <a:bodyPr spcFirstLastPara="0" vert="horz" wrap="square" lIns="0" tIns="0" rIns="0" bIns="0" numCol="1" spcCol="1270" anchor="ctr" anchorCtr="0">
          <a:noAutofit/>
        </a:bodyPr>
        <a:lstStyle/>
        <a:p>
          <a:pPr marL="0" lvl="0" indent="0" algn="ctr" defTabSz="488950">
            <a:lnSpc>
              <a:spcPct val="90000"/>
            </a:lnSpc>
            <a:spcBef>
              <a:spcPct val="0"/>
            </a:spcBef>
            <a:spcAft>
              <a:spcPct val="35000"/>
            </a:spcAft>
            <a:buNone/>
          </a:pPr>
          <a:endParaRPr lang="en-US" sz="1100" kern="1200"/>
        </a:p>
      </dsp:txBody>
      <dsp:txXfrm rot="10800000">
        <a:off x="1560295" y="5276307"/>
        <a:ext cx="149744" cy="150148"/>
      </dsp:txXfrm>
    </dsp:sp>
    <dsp:sp modelId="{549B057C-0278-4B5C-B179-823B76D2D83A}">
      <dsp:nvSpPr>
        <dsp:cNvPr id="0" name=""/>
        <dsp:cNvSpPr/>
      </dsp:nvSpPr>
      <dsp:spPr>
        <a:xfrm>
          <a:off x="386155" y="5048664"/>
          <a:ext cx="1009057" cy="605434"/>
        </a:xfrm>
        <a:prstGeom prst="roundRect">
          <a:avLst>
            <a:gd name="adj" fmla="val 10000"/>
          </a:avLst>
        </a:prstGeom>
        <a:solidFill>
          <a:schemeClr val="accent4">
            <a:hueOff val="10395692"/>
            <a:satOff val="-47968"/>
            <a:lumOff val="1765"/>
            <a:alphaOff val="0"/>
          </a:schemeClr>
        </a:solidFill>
        <a:ln w="12700" cap="flat" cmpd="sng" algn="ctr">
          <a:noFill/>
          <a:prstDash val="solid"/>
          <a:miter lim="800000"/>
        </a:ln>
        <a:effectLst>
          <a:outerShdw blurRad="149987" dist="250190" dir="8460000" algn="ctr" rotWithShape="0">
            <a:srgbClr val="000000">
              <a:alpha val="28000"/>
            </a:srgbClr>
          </a:outerShdw>
        </a:effectLst>
        <a:scene3d>
          <a:camera prst="orthographicFront">
            <a:rot lat="0" lon="0" rev="0"/>
          </a:camera>
          <a:lightRig rig="contrasting" dir="t">
            <a:rot lat="0" lon="0" rev="1500000"/>
          </a:lightRig>
        </a:scene3d>
        <a:sp3d prstMaterial="metal">
          <a:bevelT w="88900" h="88900"/>
        </a:sp3d>
      </dsp:spPr>
      <dsp:style>
        <a:lnRef idx="2">
          <a:scrgbClr r="0" g="0" b="0"/>
        </a:lnRef>
        <a:fillRef idx="1">
          <a:scrgbClr r="0" g="0" b="0"/>
        </a:fillRef>
        <a:effectRef idx="0">
          <a:scrgbClr r="0" g="0" b="0"/>
        </a:effectRef>
        <a:fontRef idx="minor">
          <a:schemeClr val="lt1"/>
        </a:fontRef>
      </dsp:style>
      <dsp:txBody>
        <a:bodyPr spcFirstLastPara="0" vert="horz" wrap="square" lIns="45720" tIns="45720" rIns="45720" bIns="45720" numCol="1" spcCol="1270" anchor="ctr" anchorCtr="0">
          <a:noAutofit/>
        </a:bodyPr>
        <a:lstStyle/>
        <a:p>
          <a:pPr marL="0" lvl="0" indent="0" algn="ctr" defTabSz="533400">
            <a:lnSpc>
              <a:spcPct val="90000"/>
            </a:lnSpc>
            <a:spcBef>
              <a:spcPct val="0"/>
            </a:spcBef>
            <a:spcAft>
              <a:spcPct val="35000"/>
            </a:spcAft>
            <a:buNone/>
          </a:pPr>
          <a:r>
            <a:rPr lang="en-US" sz="1200" kern="1200"/>
            <a:t>Tuotannon kehittäminen</a:t>
          </a:r>
        </a:p>
      </dsp:txBody>
      <dsp:txXfrm>
        <a:off x="403888" y="5066397"/>
        <a:ext cx="973591" cy="569968"/>
      </dsp:txXfrm>
    </dsp:sp>
  </dsp:spTree>
</dsp:drawing>
</file>

<file path=xl/diagrams/drawing2.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7DB9AC84-E5FD-42AD-AE93-E5BC46B6501A}">
      <dsp:nvSpPr>
        <dsp:cNvPr id="0" name=""/>
        <dsp:cNvSpPr/>
      </dsp:nvSpPr>
      <dsp:spPr>
        <a:xfrm>
          <a:off x="1574" y="70738"/>
          <a:ext cx="1289370" cy="515748"/>
        </a:xfrm>
        <a:prstGeom prst="chevron">
          <a:avLst/>
        </a:prstGeom>
        <a:gradFill rotWithShape="0">
          <a:gsLst>
            <a:gs pos="0">
              <a:schemeClr val="accent2">
                <a:hueOff val="0"/>
                <a:satOff val="0"/>
                <a:lumOff val="0"/>
                <a:alphaOff val="0"/>
                <a:satMod val="103000"/>
                <a:lumMod val="102000"/>
                <a:tint val="94000"/>
              </a:schemeClr>
            </a:gs>
            <a:gs pos="50000">
              <a:schemeClr val="accent2">
                <a:hueOff val="0"/>
                <a:satOff val="0"/>
                <a:lumOff val="0"/>
                <a:alphaOff val="0"/>
                <a:satMod val="110000"/>
                <a:lumMod val="100000"/>
                <a:shade val="100000"/>
              </a:schemeClr>
            </a:gs>
            <a:gs pos="100000">
              <a:schemeClr val="accent2">
                <a:hueOff val="0"/>
                <a:satOff val="0"/>
                <a:lumOff val="0"/>
                <a:alphaOff val="0"/>
                <a:lumMod val="99000"/>
                <a:satMod val="120000"/>
                <a:shade val="78000"/>
              </a:schemeClr>
            </a:gs>
          </a:gsLst>
          <a:lin ang="5400000" scaled="0"/>
        </a:gradFill>
        <a:ln>
          <a:noFill/>
        </a:ln>
        <a:effectLst>
          <a:outerShdw blurRad="149987" dist="250190" dir="8460000" algn="ctr" rotWithShape="0">
            <a:srgbClr val="000000">
              <a:alpha val="28000"/>
            </a:srgbClr>
          </a:outerShdw>
        </a:effectLst>
        <a:scene3d>
          <a:camera prst="orthographicFront">
            <a:rot lat="0" lon="0" rev="0"/>
          </a:camera>
          <a:lightRig rig="contrasting" dir="t">
            <a:rot lat="0" lon="0" rev="1500000"/>
          </a:lightRig>
        </a:scene3d>
        <a:sp3d prstMaterial="metal">
          <a:bevelT w="88900" h="88900"/>
        </a:sp3d>
      </dsp:spPr>
      <dsp:style>
        <a:lnRef idx="0">
          <a:scrgbClr r="0" g="0" b="0"/>
        </a:lnRef>
        <a:fillRef idx="3">
          <a:scrgbClr r="0" g="0" b="0"/>
        </a:fillRef>
        <a:effectRef idx="2">
          <a:scrgbClr r="0" g="0" b="0"/>
        </a:effectRef>
        <a:fontRef idx="minor">
          <a:schemeClr val="lt1"/>
        </a:fontRef>
      </dsp:style>
      <dsp:txBody>
        <a:bodyPr spcFirstLastPara="0" vert="horz" wrap="square" lIns="48006" tIns="16002" rIns="16002" bIns="16002" numCol="1" spcCol="1270" anchor="ctr" anchorCtr="0">
          <a:noAutofit/>
        </a:bodyPr>
        <a:lstStyle/>
        <a:p>
          <a:pPr marL="0" lvl="0" indent="0" algn="ctr" defTabSz="533400">
            <a:lnSpc>
              <a:spcPct val="90000"/>
            </a:lnSpc>
            <a:spcBef>
              <a:spcPct val="0"/>
            </a:spcBef>
            <a:spcAft>
              <a:spcPct val="35000"/>
            </a:spcAft>
            <a:buNone/>
          </a:pPr>
          <a:r>
            <a:rPr lang="fi-FI" sz="1200" kern="1200"/>
            <a:t>Kotieläin-tuotanto</a:t>
          </a:r>
          <a:endParaRPr lang="fi-FI" sz="1400" kern="1200"/>
        </a:p>
      </dsp:txBody>
      <dsp:txXfrm>
        <a:off x="259448" y="70738"/>
        <a:ext cx="773622" cy="515748"/>
      </dsp:txXfrm>
    </dsp:sp>
    <dsp:sp modelId="{059B3364-FE5F-438E-90DD-48D5E8D20778}">
      <dsp:nvSpPr>
        <dsp:cNvPr id="0" name=""/>
        <dsp:cNvSpPr/>
      </dsp:nvSpPr>
      <dsp:spPr>
        <a:xfrm>
          <a:off x="1162007" y="70738"/>
          <a:ext cx="1289370" cy="515748"/>
        </a:xfrm>
        <a:prstGeom prst="chevron">
          <a:avLst/>
        </a:prstGeom>
        <a:gradFill rotWithShape="0">
          <a:gsLst>
            <a:gs pos="0">
              <a:schemeClr val="accent3">
                <a:hueOff val="0"/>
                <a:satOff val="0"/>
                <a:lumOff val="0"/>
                <a:alphaOff val="0"/>
                <a:satMod val="103000"/>
                <a:lumMod val="102000"/>
                <a:tint val="94000"/>
              </a:schemeClr>
            </a:gs>
            <a:gs pos="50000">
              <a:schemeClr val="accent3">
                <a:hueOff val="0"/>
                <a:satOff val="0"/>
                <a:lumOff val="0"/>
                <a:alphaOff val="0"/>
                <a:satMod val="110000"/>
                <a:lumMod val="100000"/>
                <a:shade val="100000"/>
              </a:schemeClr>
            </a:gs>
            <a:gs pos="100000">
              <a:schemeClr val="accent3">
                <a:hueOff val="0"/>
                <a:satOff val="0"/>
                <a:lumOff val="0"/>
                <a:alphaOff val="0"/>
                <a:lumMod val="99000"/>
                <a:satMod val="120000"/>
                <a:shade val="78000"/>
              </a:schemeClr>
            </a:gs>
          </a:gsLst>
          <a:lin ang="5400000" scaled="0"/>
        </a:gradFill>
        <a:ln>
          <a:noFill/>
        </a:ln>
        <a:effectLst>
          <a:outerShdw blurRad="149987" dist="250190" dir="8460000" algn="ctr" rotWithShape="0">
            <a:srgbClr val="000000">
              <a:alpha val="28000"/>
            </a:srgbClr>
          </a:outerShdw>
        </a:effectLst>
        <a:scene3d>
          <a:camera prst="orthographicFront">
            <a:rot lat="0" lon="0" rev="0"/>
          </a:camera>
          <a:lightRig rig="contrasting" dir="t">
            <a:rot lat="0" lon="0" rev="1500000"/>
          </a:lightRig>
        </a:scene3d>
        <a:sp3d prstMaterial="metal">
          <a:bevelT w="88900" h="88900"/>
        </a:sp3d>
      </dsp:spPr>
      <dsp:style>
        <a:lnRef idx="0">
          <a:scrgbClr r="0" g="0" b="0"/>
        </a:lnRef>
        <a:fillRef idx="3">
          <a:scrgbClr r="0" g="0" b="0"/>
        </a:fillRef>
        <a:effectRef idx="2">
          <a:scrgbClr r="0" g="0" b="0"/>
        </a:effectRef>
        <a:fontRef idx="minor">
          <a:schemeClr val="lt1"/>
        </a:fontRef>
      </dsp:style>
      <dsp:txBody>
        <a:bodyPr spcFirstLastPara="0" vert="horz" wrap="square" lIns="36005" tIns="12002" rIns="12002" bIns="12002" numCol="1" spcCol="1270" anchor="ctr" anchorCtr="0">
          <a:noAutofit/>
        </a:bodyPr>
        <a:lstStyle/>
        <a:p>
          <a:pPr marL="0" lvl="0" indent="0" algn="ctr" defTabSz="400050">
            <a:lnSpc>
              <a:spcPct val="90000"/>
            </a:lnSpc>
            <a:spcBef>
              <a:spcPct val="0"/>
            </a:spcBef>
            <a:spcAft>
              <a:spcPct val="35000"/>
            </a:spcAft>
            <a:buNone/>
          </a:pPr>
          <a:r>
            <a:rPr lang="fi-FI" sz="900" kern="1200"/>
            <a:t>Tuotos</a:t>
          </a:r>
        </a:p>
      </dsp:txBody>
      <dsp:txXfrm>
        <a:off x="1419881" y="70738"/>
        <a:ext cx="773622" cy="515748"/>
      </dsp:txXfrm>
    </dsp:sp>
    <dsp:sp modelId="{50D9883B-63AE-4BFD-BD55-342AF101025D}">
      <dsp:nvSpPr>
        <dsp:cNvPr id="0" name=""/>
        <dsp:cNvSpPr/>
      </dsp:nvSpPr>
      <dsp:spPr>
        <a:xfrm>
          <a:off x="2322440" y="70738"/>
          <a:ext cx="1289370" cy="515748"/>
        </a:xfrm>
        <a:prstGeom prst="chevron">
          <a:avLst/>
        </a:prstGeom>
        <a:solidFill>
          <a:schemeClr val="accent4">
            <a:lumMod val="75000"/>
          </a:schemeClr>
        </a:solidFill>
        <a:ln>
          <a:noFill/>
        </a:ln>
        <a:effectLst>
          <a:outerShdw blurRad="149987" dist="250190" dir="8460000" algn="ctr" rotWithShape="0">
            <a:srgbClr val="000000">
              <a:alpha val="28000"/>
            </a:srgbClr>
          </a:outerShdw>
        </a:effectLst>
        <a:scene3d>
          <a:camera prst="orthographicFront">
            <a:rot lat="0" lon="0" rev="0"/>
          </a:camera>
          <a:lightRig rig="contrasting" dir="t">
            <a:rot lat="0" lon="0" rev="1500000"/>
          </a:lightRig>
        </a:scene3d>
        <a:sp3d prstMaterial="metal">
          <a:bevelT w="88900" h="88900"/>
        </a:sp3d>
      </dsp:spPr>
      <dsp:style>
        <a:lnRef idx="0">
          <a:scrgbClr r="0" g="0" b="0"/>
        </a:lnRef>
        <a:fillRef idx="3">
          <a:scrgbClr r="0" g="0" b="0"/>
        </a:fillRef>
        <a:effectRef idx="2">
          <a:scrgbClr r="0" g="0" b="0"/>
        </a:effectRef>
        <a:fontRef idx="minor">
          <a:schemeClr val="lt1"/>
        </a:fontRef>
      </dsp:style>
      <dsp:txBody>
        <a:bodyPr spcFirstLastPara="0" vert="horz" wrap="square" lIns="36005" tIns="12002" rIns="12002" bIns="12002" numCol="1" spcCol="1270" anchor="ctr" anchorCtr="0">
          <a:noAutofit/>
        </a:bodyPr>
        <a:lstStyle/>
        <a:p>
          <a:pPr marL="0" lvl="0" indent="0" algn="ctr" defTabSz="400050">
            <a:lnSpc>
              <a:spcPct val="90000"/>
            </a:lnSpc>
            <a:spcBef>
              <a:spcPct val="0"/>
            </a:spcBef>
            <a:spcAft>
              <a:spcPct val="35000"/>
            </a:spcAft>
            <a:buNone/>
          </a:pPr>
          <a:r>
            <a:rPr lang="fi-FI" sz="900" kern="1200"/>
            <a:t>Myynnit</a:t>
          </a:r>
        </a:p>
      </dsp:txBody>
      <dsp:txXfrm>
        <a:off x="2580314" y="70738"/>
        <a:ext cx="773622" cy="515748"/>
      </dsp:txXfrm>
    </dsp:sp>
    <dsp:sp modelId="{8654D0BD-D9D2-4212-B05A-DBB593DE2A13}">
      <dsp:nvSpPr>
        <dsp:cNvPr id="0" name=""/>
        <dsp:cNvSpPr/>
      </dsp:nvSpPr>
      <dsp:spPr>
        <a:xfrm>
          <a:off x="3482873" y="70738"/>
          <a:ext cx="1289370" cy="515748"/>
        </a:xfrm>
        <a:prstGeom prst="chevron">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149987" dist="250190" dir="8460000" algn="ctr" rotWithShape="0">
            <a:srgbClr val="000000">
              <a:alpha val="28000"/>
            </a:srgbClr>
          </a:outerShdw>
        </a:effectLst>
        <a:scene3d>
          <a:camera prst="orthographicFront">
            <a:rot lat="0" lon="0" rev="0"/>
          </a:camera>
          <a:lightRig rig="contrasting" dir="t">
            <a:rot lat="0" lon="0" rev="1500000"/>
          </a:lightRig>
        </a:scene3d>
        <a:sp3d prstMaterial="metal">
          <a:bevelT w="88900" h="88900"/>
        </a:sp3d>
      </dsp:spPr>
      <dsp:style>
        <a:lnRef idx="0">
          <a:scrgbClr r="0" g="0" b="0"/>
        </a:lnRef>
        <a:fillRef idx="3">
          <a:scrgbClr r="0" g="0" b="0"/>
        </a:fillRef>
        <a:effectRef idx="2">
          <a:scrgbClr r="0" g="0" b="0"/>
        </a:effectRef>
        <a:fontRef idx="minor">
          <a:schemeClr val="lt1"/>
        </a:fontRef>
      </dsp:style>
      <dsp:txBody>
        <a:bodyPr spcFirstLastPara="0" vert="horz" wrap="square" lIns="36005" tIns="12002" rIns="12002" bIns="12002" numCol="1" spcCol="1270" anchor="ctr" anchorCtr="0">
          <a:noAutofit/>
        </a:bodyPr>
        <a:lstStyle/>
        <a:p>
          <a:pPr marL="0" lvl="0" indent="0" algn="ctr" defTabSz="400050">
            <a:lnSpc>
              <a:spcPct val="90000"/>
            </a:lnSpc>
            <a:spcBef>
              <a:spcPct val="0"/>
            </a:spcBef>
            <a:spcAft>
              <a:spcPct val="35000"/>
            </a:spcAft>
            <a:buNone/>
          </a:pPr>
          <a:r>
            <a:rPr lang="fi-FI" sz="900" kern="1200"/>
            <a:t>Tuet</a:t>
          </a:r>
        </a:p>
      </dsp:txBody>
      <dsp:txXfrm>
        <a:off x="3740747" y="70738"/>
        <a:ext cx="773622" cy="515748"/>
      </dsp:txXfrm>
    </dsp:sp>
    <dsp:sp modelId="{5BF75EDC-9AF4-4D77-B8D1-20FEEEC2F0D8}">
      <dsp:nvSpPr>
        <dsp:cNvPr id="0" name=""/>
        <dsp:cNvSpPr/>
      </dsp:nvSpPr>
      <dsp:spPr>
        <a:xfrm>
          <a:off x="4643307" y="70738"/>
          <a:ext cx="1289370" cy="515748"/>
        </a:xfrm>
        <a:prstGeom prst="chevron">
          <a:avLst/>
        </a:prstGeom>
        <a:solidFill>
          <a:schemeClr val="tx2">
            <a:lumMod val="60000"/>
            <a:lumOff val="40000"/>
          </a:schemeClr>
        </a:solidFill>
        <a:ln>
          <a:noFill/>
        </a:ln>
        <a:effectLst>
          <a:outerShdw blurRad="149987" dist="250190" dir="8460000" algn="ctr" rotWithShape="0">
            <a:srgbClr val="000000">
              <a:alpha val="28000"/>
            </a:srgbClr>
          </a:outerShdw>
        </a:effectLst>
        <a:scene3d>
          <a:camera prst="orthographicFront">
            <a:rot lat="0" lon="0" rev="0"/>
          </a:camera>
          <a:lightRig rig="contrasting" dir="t">
            <a:rot lat="0" lon="0" rev="1500000"/>
          </a:lightRig>
        </a:scene3d>
        <a:sp3d prstMaterial="metal">
          <a:bevelT w="88900" h="88900"/>
        </a:sp3d>
      </dsp:spPr>
      <dsp:style>
        <a:lnRef idx="0">
          <a:scrgbClr r="0" g="0" b="0"/>
        </a:lnRef>
        <a:fillRef idx="3">
          <a:scrgbClr r="0" g="0" b="0"/>
        </a:fillRef>
        <a:effectRef idx="2">
          <a:scrgbClr r="0" g="0" b="0"/>
        </a:effectRef>
        <a:fontRef idx="minor">
          <a:schemeClr val="lt1"/>
        </a:fontRef>
      </dsp:style>
      <dsp:txBody>
        <a:bodyPr spcFirstLastPara="0" vert="horz" wrap="square" lIns="36005" tIns="12002" rIns="12002" bIns="12002" numCol="1" spcCol="1270" anchor="ctr" anchorCtr="0">
          <a:noAutofit/>
        </a:bodyPr>
        <a:lstStyle/>
        <a:p>
          <a:pPr marL="0" lvl="0" indent="0" algn="ctr" defTabSz="400050">
            <a:lnSpc>
              <a:spcPct val="90000"/>
            </a:lnSpc>
            <a:spcBef>
              <a:spcPct val="0"/>
            </a:spcBef>
            <a:spcAft>
              <a:spcPct val="35000"/>
            </a:spcAft>
            <a:buNone/>
          </a:pPr>
          <a:r>
            <a:rPr lang="fi-FI" sz="900" kern="1200"/>
            <a:t>Uudistus</a:t>
          </a:r>
        </a:p>
      </dsp:txBody>
      <dsp:txXfrm>
        <a:off x="4901181" y="70738"/>
        <a:ext cx="773622" cy="515748"/>
      </dsp:txXfrm>
    </dsp:sp>
    <dsp:sp modelId="{0C9E00E5-616A-4DD3-A6CC-09BB5C59066D}">
      <dsp:nvSpPr>
        <dsp:cNvPr id="0" name=""/>
        <dsp:cNvSpPr/>
      </dsp:nvSpPr>
      <dsp:spPr>
        <a:xfrm>
          <a:off x="5803740" y="70738"/>
          <a:ext cx="1289370" cy="515748"/>
        </a:xfrm>
        <a:prstGeom prst="chevron">
          <a:avLst/>
        </a:prstGeom>
        <a:gradFill rotWithShape="0">
          <a:gsLst>
            <a:gs pos="0">
              <a:schemeClr val="accent2">
                <a:hueOff val="0"/>
                <a:satOff val="0"/>
                <a:lumOff val="0"/>
                <a:alphaOff val="0"/>
                <a:satMod val="103000"/>
                <a:lumMod val="102000"/>
                <a:tint val="94000"/>
              </a:schemeClr>
            </a:gs>
            <a:gs pos="50000">
              <a:schemeClr val="accent2">
                <a:hueOff val="0"/>
                <a:satOff val="0"/>
                <a:lumOff val="0"/>
                <a:alphaOff val="0"/>
                <a:satMod val="110000"/>
                <a:lumMod val="100000"/>
                <a:shade val="100000"/>
              </a:schemeClr>
            </a:gs>
            <a:gs pos="100000">
              <a:schemeClr val="accent2">
                <a:hueOff val="0"/>
                <a:satOff val="0"/>
                <a:lumOff val="0"/>
                <a:alphaOff val="0"/>
                <a:lumMod val="99000"/>
                <a:satMod val="120000"/>
                <a:shade val="78000"/>
              </a:schemeClr>
            </a:gs>
          </a:gsLst>
          <a:lin ang="5400000" scaled="0"/>
        </a:gradFill>
        <a:ln>
          <a:noFill/>
        </a:ln>
        <a:effectLst>
          <a:outerShdw blurRad="149987" dist="250190" dir="8460000" algn="ctr" rotWithShape="0">
            <a:srgbClr val="000000">
              <a:alpha val="28000"/>
            </a:srgbClr>
          </a:outerShdw>
        </a:effectLst>
        <a:scene3d>
          <a:camera prst="orthographicFront">
            <a:rot lat="0" lon="0" rev="0"/>
          </a:camera>
          <a:lightRig rig="contrasting" dir="t">
            <a:rot lat="0" lon="0" rev="1500000"/>
          </a:lightRig>
        </a:scene3d>
        <a:sp3d prstMaterial="metal">
          <a:bevelT w="88900" h="88900"/>
        </a:sp3d>
      </dsp:spPr>
      <dsp:style>
        <a:lnRef idx="0">
          <a:scrgbClr r="0" g="0" b="0"/>
        </a:lnRef>
        <a:fillRef idx="3">
          <a:scrgbClr r="0" g="0" b="0"/>
        </a:fillRef>
        <a:effectRef idx="2">
          <a:scrgbClr r="0" g="0" b="0"/>
        </a:effectRef>
        <a:fontRef idx="minor">
          <a:schemeClr val="lt1"/>
        </a:fontRef>
      </dsp:style>
      <dsp:txBody>
        <a:bodyPr spcFirstLastPara="0" vert="horz" wrap="square" lIns="36005" tIns="12002" rIns="12002" bIns="12002" numCol="1" spcCol="1270" anchor="ctr" anchorCtr="0">
          <a:noAutofit/>
        </a:bodyPr>
        <a:lstStyle/>
        <a:p>
          <a:pPr marL="0" lvl="0" indent="0" algn="ctr" defTabSz="400050">
            <a:lnSpc>
              <a:spcPct val="90000"/>
            </a:lnSpc>
            <a:spcBef>
              <a:spcPct val="0"/>
            </a:spcBef>
            <a:spcAft>
              <a:spcPct val="35000"/>
            </a:spcAft>
            <a:buNone/>
          </a:pPr>
          <a:r>
            <a:rPr lang="fi-FI" sz="900" kern="1200"/>
            <a:t>Kasvatusaika</a:t>
          </a:r>
        </a:p>
      </dsp:txBody>
      <dsp:txXfrm>
        <a:off x="6061614" y="70738"/>
        <a:ext cx="773622" cy="515748"/>
      </dsp:txXfrm>
    </dsp:sp>
    <dsp:sp modelId="{B5FE3C45-50DE-41C0-8FAA-91103FD96714}">
      <dsp:nvSpPr>
        <dsp:cNvPr id="0" name=""/>
        <dsp:cNvSpPr/>
      </dsp:nvSpPr>
      <dsp:spPr>
        <a:xfrm>
          <a:off x="6964173" y="70738"/>
          <a:ext cx="1289370" cy="515748"/>
        </a:xfrm>
        <a:prstGeom prst="chevron">
          <a:avLst/>
        </a:prstGeom>
        <a:solidFill>
          <a:schemeClr val="accent3">
            <a:lumMod val="75000"/>
          </a:schemeClr>
        </a:solidFill>
        <a:ln>
          <a:noFill/>
        </a:ln>
        <a:effectLst>
          <a:outerShdw blurRad="149987" dist="250190" dir="8460000" algn="ctr" rotWithShape="0">
            <a:srgbClr val="000000">
              <a:alpha val="28000"/>
            </a:srgbClr>
          </a:outerShdw>
        </a:effectLst>
        <a:scene3d>
          <a:camera prst="orthographicFront">
            <a:rot lat="0" lon="0" rev="0"/>
          </a:camera>
          <a:lightRig rig="contrasting" dir="t">
            <a:rot lat="0" lon="0" rev="1500000"/>
          </a:lightRig>
        </a:scene3d>
        <a:sp3d prstMaterial="metal">
          <a:bevelT w="88900" h="88900"/>
        </a:sp3d>
      </dsp:spPr>
      <dsp:style>
        <a:lnRef idx="0">
          <a:scrgbClr r="0" g="0" b="0"/>
        </a:lnRef>
        <a:fillRef idx="3">
          <a:scrgbClr r="0" g="0" b="0"/>
        </a:fillRef>
        <a:effectRef idx="2">
          <a:scrgbClr r="0" g="0" b="0"/>
        </a:effectRef>
        <a:fontRef idx="minor">
          <a:schemeClr val="lt1"/>
        </a:fontRef>
      </dsp:style>
      <dsp:txBody>
        <a:bodyPr spcFirstLastPara="0" vert="horz" wrap="square" lIns="36005" tIns="12002" rIns="12002" bIns="12002" numCol="1" spcCol="1270" anchor="ctr" anchorCtr="0">
          <a:noAutofit/>
        </a:bodyPr>
        <a:lstStyle/>
        <a:p>
          <a:pPr marL="0" lvl="0" indent="0" algn="ctr" defTabSz="400050">
            <a:lnSpc>
              <a:spcPct val="90000"/>
            </a:lnSpc>
            <a:spcBef>
              <a:spcPct val="0"/>
            </a:spcBef>
            <a:spcAft>
              <a:spcPct val="35000"/>
            </a:spcAft>
            <a:buNone/>
          </a:pPr>
          <a:r>
            <a:rPr lang="fi-FI" sz="900" kern="1200"/>
            <a:t>Ostopanokset</a:t>
          </a:r>
        </a:p>
      </dsp:txBody>
      <dsp:txXfrm>
        <a:off x="7222047" y="70738"/>
        <a:ext cx="773622" cy="515748"/>
      </dsp:txXfrm>
    </dsp:sp>
    <dsp:sp modelId="{B25165D8-1DF1-4817-981B-4ABE9D7F2D92}">
      <dsp:nvSpPr>
        <dsp:cNvPr id="0" name=""/>
        <dsp:cNvSpPr/>
      </dsp:nvSpPr>
      <dsp:spPr>
        <a:xfrm>
          <a:off x="8124606" y="70738"/>
          <a:ext cx="1289370" cy="515748"/>
        </a:xfrm>
        <a:prstGeom prst="chevron">
          <a:avLst/>
        </a:prstGeom>
        <a:solidFill>
          <a:schemeClr val="bg2">
            <a:lumMod val="50000"/>
          </a:schemeClr>
        </a:solidFill>
        <a:ln>
          <a:noFill/>
        </a:ln>
        <a:effectLst>
          <a:outerShdw blurRad="149987" dist="250190" dir="8460000" algn="ctr" rotWithShape="0">
            <a:srgbClr val="000000">
              <a:alpha val="28000"/>
            </a:srgbClr>
          </a:outerShdw>
        </a:effectLst>
        <a:scene3d>
          <a:camera prst="orthographicFront">
            <a:rot lat="0" lon="0" rev="0"/>
          </a:camera>
          <a:lightRig rig="contrasting" dir="t">
            <a:rot lat="0" lon="0" rev="1500000"/>
          </a:lightRig>
        </a:scene3d>
        <a:sp3d prstMaterial="metal">
          <a:bevelT w="88900" h="88900"/>
        </a:sp3d>
      </dsp:spPr>
      <dsp:style>
        <a:lnRef idx="0">
          <a:scrgbClr r="0" g="0" b="0"/>
        </a:lnRef>
        <a:fillRef idx="3">
          <a:scrgbClr r="0" g="0" b="0"/>
        </a:fillRef>
        <a:effectRef idx="2">
          <a:scrgbClr r="0" g="0" b="0"/>
        </a:effectRef>
        <a:fontRef idx="minor">
          <a:schemeClr val="lt1"/>
        </a:fontRef>
      </dsp:style>
      <dsp:txBody>
        <a:bodyPr spcFirstLastPara="0" vert="horz" wrap="square" lIns="36005" tIns="12002" rIns="12002" bIns="12002" numCol="1" spcCol="1270" anchor="ctr" anchorCtr="0">
          <a:noAutofit/>
        </a:bodyPr>
        <a:lstStyle/>
        <a:p>
          <a:pPr marL="0" lvl="0" indent="0" algn="ctr" defTabSz="400050">
            <a:lnSpc>
              <a:spcPct val="90000"/>
            </a:lnSpc>
            <a:spcBef>
              <a:spcPct val="0"/>
            </a:spcBef>
            <a:spcAft>
              <a:spcPct val="35000"/>
            </a:spcAft>
            <a:buNone/>
          </a:pPr>
          <a:r>
            <a:rPr lang="fi-FI" sz="900" kern="1200"/>
            <a:t>Työmäärä</a:t>
          </a:r>
        </a:p>
      </dsp:txBody>
      <dsp:txXfrm>
        <a:off x="8382480" y="70738"/>
        <a:ext cx="773622" cy="515748"/>
      </dsp:txXfrm>
    </dsp:sp>
    <dsp:sp modelId="{8B921E4B-7BB9-43B7-A20F-4219100A6314}">
      <dsp:nvSpPr>
        <dsp:cNvPr id="0" name=""/>
        <dsp:cNvSpPr/>
      </dsp:nvSpPr>
      <dsp:spPr>
        <a:xfrm>
          <a:off x="9285040" y="70738"/>
          <a:ext cx="1289370" cy="515748"/>
        </a:xfrm>
        <a:prstGeom prst="chevron">
          <a:avLst/>
        </a:prstGeom>
        <a:solidFill>
          <a:schemeClr val="tx2">
            <a:lumMod val="75000"/>
          </a:schemeClr>
        </a:solidFill>
        <a:ln>
          <a:noFill/>
        </a:ln>
        <a:effectLst>
          <a:outerShdw blurRad="149987" dist="250190" dir="8460000" algn="ctr" rotWithShape="0">
            <a:srgbClr val="000000">
              <a:alpha val="28000"/>
            </a:srgbClr>
          </a:outerShdw>
        </a:effectLst>
        <a:scene3d>
          <a:camera prst="orthographicFront">
            <a:rot lat="0" lon="0" rev="0"/>
          </a:camera>
          <a:lightRig rig="contrasting" dir="t">
            <a:rot lat="0" lon="0" rev="1500000"/>
          </a:lightRig>
        </a:scene3d>
        <a:sp3d prstMaterial="metal">
          <a:bevelT w="88900" h="88900"/>
        </a:sp3d>
      </dsp:spPr>
      <dsp:style>
        <a:lnRef idx="0">
          <a:scrgbClr r="0" g="0" b="0"/>
        </a:lnRef>
        <a:fillRef idx="3">
          <a:scrgbClr r="0" g="0" b="0"/>
        </a:fillRef>
        <a:effectRef idx="2">
          <a:scrgbClr r="0" g="0" b="0"/>
        </a:effectRef>
        <a:fontRef idx="minor">
          <a:schemeClr val="lt1"/>
        </a:fontRef>
      </dsp:style>
      <dsp:txBody>
        <a:bodyPr spcFirstLastPara="0" vert="horz" wrap="square" lIns="36005" tIns="12002" rIns="12002" bIns="12002" numCol="1" spcCol="1270" anchor="ctr" anchorCtr="0">
          <a:noAutofit/>
        </a:bodyPr>
        <a:lstStyle/>
        <a:p>
          <a:pPr marL="0" lvl="0" indent="0" algn="ctr" defTabSz="400050">
            <a:lnSpc>
              <a:spcPct val="90000"/>
            </a:lnSpc>
            <a:spcBef>
              <a:spcPct val="0"/>
            </a:spcBef>
            <a:spcAft>
              <a:spcPct val="35000"/>
            </a:spcAft>
            <a:buNone/>
          </a:pPr>
          <a:r>
            <a:rPr lang="fi-FI" sz="900" kern="1200"/>
            <a:t>Investoinnit</a:t>
          </a:r>
        </a:p>
      </dsp:txBody>
      <dsp:txXfrm>
        <a:off x="9542914" y="70738"/>
        <a:ext cx="773622" cy="515748"/>
      </dsp:txXfrm>
    </dsp:sp>
    <dsp:sp modelId="{0043EA8E-E4EB-46EC-9757-9BF293B05FB3}">
      <dsp:nvSpPr>
        <dsp:cNvPr id="0" name=""/>
        <dsp:cNvSpPr/>
      </dsp:nvSpPr>
      <dsp:spPr>
        <a:xfrm>
          <a:off x="10445473" y="70738"/>
          <a:ext cx="1289370" cy="515748"/>
        </a:xfrm>
        <a:prstGeom prst="chevron">
          <a:avLst/>
        </a:prstGeom>
        <a:solidFill>
          <a:schemeClr val="accent5">
            <a:lumMod val="60000"/>
            <a:lumOff val="40000"/>
          </a:schemeClr>
        </a:solidFill>
        <a:ln>
          <a:noFill/>
        </a:ln>
        <a:effectLst>
          <a:outerShdw blurRad="149987" dist="250190" dir="8460000" algn="ctr" rotWithShape="0">
            <a:srgbClr val="000000">
              <a:alpha val="28000"/>
            </a:srgbClr>
          </a:outerShdw>
        </a:effectLst>
        <a:scene3d>
          <a:camera prst="orthographicFront">
            <a:rot lat="0" lon="0" rev="0"/>
          </a:camera>
          <a:lightRig rig="contrasting" dir="t">
            <a:rot lat="0" lon="0" rev="1500000"/>
          </a:lightRig>
        </a:scene3d>
        <a:sp3d prstMaterial="metal">
          <a:bevelT w="88900" h="88900"/>
        </a:sp3d>
      </dsp:spPr>
      <dsp:style>
        <a:lnRef idx="0">
          <a:scrgbClr r="0" g="0" b="0"/>
        </a:lnRef>
        <a:fillRef idx="3">
          <a:scrgbClr r="0" g="0" b="0"/>
        </a:fillRef>
        <a:effectRef idx="2">
          <a:scrgbClr r="0" g="0" b="0"/>
        </a:effectRef>
        <a:fontRef idx="minor">
          <a:schemeClr val="lt1"/>
        </a:fontRef>
      </dsp:style>
      <dsp:txBody>
        <a:bodyPr spcFirstLastPara="0" vert="horz" wrap="square" lIns="36005" tIns="12002" rIns="12002" bIns="12002" numCol="1" spcCol="1270" anchor="ctr" anchorCtr="0">
          <a:noAutofit/>
        </a:bodyPr>
        <a:lstStyle/>
        <a:p>
          <a:pPr marL="0" lvl="0" indent="0" algn="ctr" defTabSz="400050">
            <a:lnSpc>
              <a:spcPct val="90000"/>
            </a:lnSpc>
            <a:spcBef>
              <a:spcPct val="0"/>
            </a:spcBef>
            <a:spcAft>
              <a:spcPct val="35000"/>
            </a:spcAft>
            <a:buNone/>
          </a:pPr>
          <a:r>
            <a:rPr lang="fi-FI" sz="900" kern="1200"/>
            <a:t>Kustannusten jako</a:t>
          </a:r>
        </a:p>
      </dsp:txBody>
      <dsp:txXfrm>
        <a:off x="10703347" y="70738"/>
        <a:ext cx="773622" cy="515748"/>
      </dsp:txXfrm>
    </dsp:sp>
    <dsp:sp modelId="{D4CB45D7-ECEB-4F8A-A16C-7B246DF47214}">
      <dsp:nvSpPr>
        <dsp:cNvPr id="0" name=""/>
        <dsp:cNvSpPr/>
      </dsp:nvSpPr>
      <dsp:spPr>
        <a:xfrm>
          <a:off x="11605906" y="70738"/>
          <a:ext cx="1289370" cy="515748"/>
        </a:xfrm>
        <a:prstGeom prst="chevron">
          <a:avLst/>
        </a:prstGeom>
        <a:gradFill rotWithShape="0">
          <a:gsLst>
            <a:gs pos="0">
              <a:schemeClr val="accent2">
                <a:hueOff val="0"/>
                <a:satOff val="0"/>
                <a:lumOff val="0"/>
                <a:alphaOff val="0"/>
                <a:satMod val="103000"/>
                <a:lumMod val="102000"/>
                <a:tint val="94000"/>
              </a:schemeClr>
            </a:gs>
            <a:gs pos="50000">
              <a:schemeClr val="accent2">
                <a:hueOff val="0"/>
                <a:satOff val="0"/>
                <a:lumOff val="0"/>
                <a:alphaOff val="0"/>
                <a:satMod val="110000"/>
                <a:lumMod val="100000"/>
                <a:shade val="100000"/>
              </a:schemeClr>
            </a:gs>
            <a:gs pos="100000">
              <a:schemeClr val="accent2">
                <a:hueOff val="0"/>
                <a:satOff val="0"/>
                <a:lumOff val="0"/>
                <a:alphaOff val="0"/>
                <a:lumMod val="99000"/>
                <a:satMod val="120000"/>
                <a:shade val="78000"/>
              </a:schemeClr>
            </a:gs>
          </a:gsLst>
          <a:lin ang="5400000" scaled="0"/>
        </a:gradFill>
        <a:ln>
          <a:noFill/>
        </a:ln>
        <a:effectLst>
          <a:outerShdw blurRad="149987" dist="250190" dir="8460000" algn="ctr" rotWithShape="0">
            <a:srgbClr val="000000">
              <a:alpha val="28000"/>
            </a:srgbClr>
          </a:outerShdw>
        </a:effectLst>
        <a:scene3d>
          <a:camera prst="orthographicFront">
            <a:rot lat="0" lon="0" rev="0"/>
          </a:camera>
          <a:lightRig rig="contrasting" dir="t">
            <a:rot lat="0" lon="0" rev="1500000"/>
          </a:lightRig>
        </a:scene3d>
        <a:sp3d prstMaterial="metal">
          <a:bevelT w="88900" h="88900"/>
        </a:sp3d>
      </dsp:spPr>
      <dsp:style>
        <a:lnRef idx="0">
          <a:scrgbClr r="0" g="0" b="0"/>
        </a:lnRef>
        <a:fillRef idx="3">
          <a:scrgbClr r="0" g="0" b="0"/>
        </a:fillRef>
        <a:effectRef idx="2">
          <a:scrgbClr r="0" g="0" b="0"/>
        </a:effectRef>
        <a:fontRef idx="minor">
          <a:schemeClr val="lt1"/>
        </a:fontRef>
      </dsp:style>
      <dsp:txBody>
        <a:bodyPr spcFirstLastPara="0" vert="horz" wrap="square" lIns="36005" tIns="12002" rIns="12002" bIns="12002" numCol="1" spcCol="1270" anchor="ctr" anchorCtr="0">
          <a:noAutofit/>
        </a:bodyPr>
        <a:lstStyle/>
        <a:p>
          <a:pPr marL="0" lvl="0" indent="0" algn="ctr" defTabSz="400050">
            <a:lnSpc>
              <a:spcPct val="90000"/>
            </a:lnSpc>
            <a:spcBef>
              <a:spcPct val="0"/>
            </a:spcBef>
            <a:spcAft>
              <a:spcPct val="35000"/>
            </a:spcAft>
            <a:buNone/>
          </a:pPr>
          <a:r>
            <a:rPr lang="fi-FI" sz="900" kern="1200"/>
            <a:t>Pohdi kannattavuutta</a:t>
          </a:r>
        </a:p>
      </dsp:txBody>
      <dsp:txXfrm>
        <a:off x="11863780" y="70738"/>
        <a:ext cx="773622" cy="515748"/>
      </dsp:txXfrm>
    </dsp:sp>
  </dsp:spTree>
</dsp:drawing>
</file>

<file path=xl/diagrams/drawing3.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059B3364-FE5F-438E-90DD-48D5E8D20778}">
      <dsp:nvSpPr>
        <dsp:cNvPr id="0" name=""/>
        <dsp:cNvSpPr/>
      </dsp:nvSpPr>
      <dsp:spPr>
        <a:xfrm>
          <a:off x="1109" y="0"/>
          <a:ext cx="1778131" cy="466725"/>
        </a:xfrm>
        <a:prstGeom prst="chevron">
          <a:avLst/>
        </a:prstGeom>
        <a:solidFill>
          <a:schemeClr val="accent6"/>
        </a:solidFill>
        <a:ln>
          <a:noFill/>
        </a:ln>
        <a:effectLst>
          <a:outerShdw blurRad="149987" dist="250190" dir="8460000" algn="ctr" rotWithShape="0">
            <a:srgbClr val="000000">
              <a:alpha val="28000"/>
            </a:srgbClr>
          </a:outerShdw>
        </a:effectLst>
        <a:scene3d>
          <a:camera prst="orthographicFront">
            <a:rot lat="0" lon="0" rev="0"/>
          </a:camera>
          <a:lightRig rig="contrasting" dir="t">
            <a:rot lat="0" lon="0" rev="1500000"/>
          </a:lightRig>
        </a:scene3d>
        <a:sp3d prstMaterial="metal">
          <a:bevelT w="88900" h="88900"/>
        </a:sp3d>
      </dsp:spPr>
      <dsp:style>
        <a:lnRef idx="0">
          <a:scrgbClr r="0" g="0" b="0"/>
        </a:lnRef>
        <a:fillRef idx="3">
          <a:scrgbClr r="0" g="0" b="0"/>
        </a:fillRef>
        <a:effectRef idx="2">
          <a:scrgbClr r="0" g="0" b="0"/>
        </a:effectRef>
        <a:fontRef idx="minor">
          <a:schemeClr val="lt1"/>
        </a:fontRef>
      </dsp:style>
      <dsp:txBody>
        <a:bodyPr spcFirstLastPara="0" vert="horz" wrap="square" lIns="48006" tIns="16002" rIns="16002" bIns="16002" numCol="1" spcCol="1270" anchor="ctr" anchorCtr="0">
          <a:noAutofit/>
        </a:bodyPr>
        <a:lstStyle/>
        <a:p>
          <a:pPr marL="0" lvl="0" indent="0" algn="ctr" defTabSz="533400">
            <a:lnSpc>
              <a:spcPct val="90000"/>
            </a:lnSpc>
            <a:spcBef>
              <a:spcPct val="0"/>
            </a:spcBef>
            <a:spcAft>
              <a:spcPct val="35000"/>
            </a:spcAft>
            <a:buNone/>
          </a:pPr>
          <a:r>
            <a:rPr lang="fi-FI" sz="1200" kern="1200"/>
            <a:t>Sadot</a:t>
          </a:r>
        </a:p>
      </dsp:txBody>
      <dsp:txXfrm>
        <a:off x="234472" y="0"/>
        <a:ext cx="1311406" cy="466725"/>
      </dsp:txXfrm>
    </dsp:sp>
    <dsp:sp modelId="{8654D0BD-D9D2-4212-B05A-DBB593DE2A13}">
      <dsp:nvSpPr>
        <dsp:cNvPr id="0" name=""/>
        <dsp:cNvSpPr/>
      </dsp:nvSpPr>
      <dsp:spPr>
        <a:xfrm>
          <a:off x="1601427" y="0"/>
          <a:ext cx="1778131" cy="466725"/>
        </a:xfrm>
        <a:prstGeom prst="chevron">
          <a:avLst/>
        </a:prstGeom>
        <a:solidFill>
          <a:srgbClr val="0070C0"/>
        </a:solidFill>
        <a:ln>
          <a:noFill/>
        </a:ln>
        <a:effectLst>
          <a:outerShdw blurRad="149987" dist="250190" dir="8460000" algn="ctr" rotWithShape="0">
            <a:srgbClr val="000000">
              <a:alpha val="28000"/>
            </a:srgbClr>
          </a:outerShdw>
        </a:effectLst>
        <a:scene3d>
          <a:camera prst="orthographicFront">
            <a:rot lat="0" lon="0" rev="0"/>
          </a:camera>
          <a:lightRig rig="contrasting" dir="t">
            <a:rot lat="0" lon="0" rev="1500000"/>
          </a:lightRig>
        </a:scene3d>
        <a:sp3d prstMaterial="metal">
          <a:bevelT w="88900" h="88900"/>
        </a:sp3d>
      </dsp:spPr>
      <dsp:style>
        <a:lnRef idx="0">
          <a:scrgbClr r="0" g="0" b="0"/>
        </a:lnRef>
        <a:fillRef idx="3">
          <a:scrgbClr r="0" g="0" b="0"/>
        </a:fillRef>
        <a:effectRef idx="2">
          <a:scrgbClr r="0" g="0" b="0"/>
        </a:effectRef>
        <a:fontRef idx="minor">
          <a:schemeClr val="lt1"/>
        </a:fontRef>
      </dsp:style>
      <dsp:txBody>
        <a:bodyPr spcFirstLastPara="0" vert="horz" wrap="square" lIns="36005" tIns="12002" rIns="12002" bIns="12002" numCol="1" spcCol="1270" anchor="ctr" anchorCtr="0">
          <a:noAutofit/>
        </a:bodyPr>
        <a:lstStyle/>
        <a:p>
          <a:pPr marL="0" lvl="0" indent="0" algn="ctr" defTabSz="400050">
            <a:lnSpc>
              <a:spcPct val="90000"/>
            </a:lnSpc>
            <a:spcBef>
              <a:spcPct val="0"/>
            </a:spcBef>
            <a:spcAft>
              <a:spcPct val="35000"/>
            </a:spcAft>
            <a:buNone/>
          </a:pPr>
          <a:r>
            <a:rPr lang="fi-FI" sz="900" kern="1200"/>
            <a:t>Tuet</a:t>
          </a:r>
        </a:p>
      </dsp:txBody>
      <dsp:txXfrm>
        <a:off x="1834790" y="0"/>
        <a:ext cx="1311406" cy="466725"/>
      </dsp:txXfrm>
    </dsp:sp>
    <dsp:sp modelId="{5BF75EDC-9AF4-4D77-B8D1-20FEEEC2F0D8}">
      <dsp:nvSpPr>
        <dsp:cNvPr id="0" name=""/>
        <dsp:cNvSpPr/>
      </dsp:nvSpPr>
      <dsp:spPr>
        <a:xfrm>
          <a:off x="3201745" y="0"/>
          <a:ext cx="1778131" cy="466725"/>
        </a:xfrm>
        <a:prstGeom prst="chevron">
          <a:avLst/>
        </a:prstGeom>
        <a:gradFill rotWithShape="0">
          <a:gsLst>
            <a:gs pos="0">
              <a:schemeClr val="accent4">
                <a:hueOff val="2970198"/>
                <a:satOff val="-13705"/>
                <a:lumOff val="504"/>
                <a:alphaOff val="0"/>
                <a:satMod val="103000"/>
                <a:lumMod val="102000"/>
                <a:tint val="94000"/>
              </a:schemeClr>
            </a:gs>
            <a:gs pos="50000">
              <a:schemeClr val="accent4">
                <a:hueOff val="2970198"/>
                <a:satOff val="-13705"/>
                <a:lumOff val="504"/>
                <a:alphaOff val="0"/>
                <a:satMod val="110000"/>
                <a:lumMod val="100000"/>
                <a:shade val="100000"/>
              </a:schemeClr>
            </a:gs>
            <a:gs pos="100000">
              <a:schemeClr val="accent4">
                <a:hueOff val="2970198"/>
                <a:satOff val="-13705"/>
                <a:lumOff val="504"/>
                <a:alphaOff val="0"/>
                <a:lumMod val="99000"/>
                <a:satMod val="120000"/>
                <a:shade val="78000"/>
              </a:schemeClr>
            </a:gs>
          </a:gsLst>
          <a:lin ang="5400000" scaled="0"/>
        </a:gradFill>
        <a:ln>
          <a:noFill/>
        </a:ln>
        <a:effectLst>
          <a:outerShdw blurRad="149987" dist="250190" dir="8460000" algn="ctr" rotWithShape="0">
            <a:srgbClr val="000000">
              <a:alpha val="28000"/>
            </a:srgbClr>
          </a:outerShdw>
        </a:effectLst>
        <a:scene3d>
          <a:camera prst="orthographicFront">
            <a:rot lat="0" lon="0" rev="0"/>
          </a:camera>
          <a:lightRig rig="contrasting" dir="t">
            <a:rot lat="0" lon="0" rev="1500000"/>
          </a:lightRig>
        </a:scene3d>
        <a:sp3d prstMaterial="metal">
          <a:bevelT w="88900" h="88900"/>
        </a:sp3d>
      </dsp:spPr>
      <dsp:style>
        <a:lnRef idx="0">
          <a:scrgbClr r="0" g="0" b="0"/>
        </a:lnRef>
        <a:fillRef idx="3">
          <a:scrgbClr r="0" g="0" b="0"/>
        </a:fillRef>
        <a:effectRef idx="2">
          <a:scrgbClr r="0" g="0" b="0"/>
        </a:effectRef>
        <a:fontRef idx="minor">
          <a:schemeClr val="lt1"/>
        </a:fontRef>
      </dsp:style>
      <dsp:txBody>
        <a:bodyPr spcFirstLastPara="0" vert="horz" wrap="square" lIns="36005" tIns="12002" rIns="12002" bIns="12002" numCol="1" spcCol="1270" anchor="ctr" anchorCtr="0">
          <a:noAutofit/>
        </a:bodyPr>
        <a:lstStyle/>
        <a:p>
          <a:pPr marL="0" lvl="0" indent="0" algn="ctr" defTabSz="400050">
            <a:lnSpc>
              <a:spcPct val="90000"/>
            </a:lnSpc>
            <a:spcBef>
              <a:spcPct val="0"/>
            </a:spcBef>
            <a:spcAft>
              <a:spcPct val="35000"/>
            </a:spcAft>
            <a:buNone/>
          </a:pPr>
          <a:r>
            <a:rPr lang="fi-FI" sz="900" kern="1200"/>
            <a:t>Rehuarvot</a:t>
          </a:r>
        </a:p>
      </dsp:txBody>
      <dsp:txXfrm>
        <a:off x="3435108" y="0"/>
        <a:ext cx="1311406" cy="466725"/>
      </dsp:txXfrm>
    </dsp:sp>
    <dsp:sp modelId="{0C9E00E5-616A-4DD3-A6CC-09BB5C59066D}">
      <dsp:nvSpPr>
        <dsp:cNvPr id="0" name=""/>
        <dsp:cNvSpPr/>
      </dsp:nvSpPr>
      <dsp:spPr>
        <a:xfrm>
          <a:off x="4802063" y="0"/>
          <a:ext cx="1778131" cy="466725"/>
        </a:xfrm>
        <a:prstGeom prst="chevron">
          <a:avLst/>
        </a:prstGeom>
        <a:solidFill>
          <a:schemeClr val="accent3">
            <a:lumMod val="75000"/>
          </a:schemeClr>
        </a:solidFill>
        <a:ln>
          <a:noFill/>
        </a:ln>
        <a:effectLst>
          <a:outerShdw blurRad="149987" dist="250190" dir="8460000" algn="ctr" rotWithShape="0">
            <a:srgbClr val="000000">
              <a:alpha val="28000"/>
            </a:srgbClr>
          </a:outerShdw>
        </a:effectLst>
        <a:scene3d>
          <a:camera prst="orthographicFront">
            <a:rot lat="0" lon="0" rev="0"/>
          </a:camera>
          <a:lightRig rig="contrasting" dir="t">
            <a:rot lat="0" lon="0" rev="1500000"/>
          </a:lightRig>
        </a:scene3d>
        <a:sp3d prstMaterial="metal">
          <a:bevelT w="88900" h="88900"/>
        </a:sp3d>
      </dsp:spPr>
      <dsp:style>
        <a:lnRef idx="0">
          <a:scrgbClr r="0" g="0" b="0"/>
        </a:lnRef>
        <a:fillRef idx="3">
          <a:scrgbClr r="0" g="0" b="0"/>
        </a:fillRef>
        <a:effectRef idx="2">
          <a:scrgbClr r="0" g="0" b="0"/>
        </a:effectRef>
        <a:fontRef idx="minor">
          <a:schemeClr val="lt1"/>
        </a:fontRef>
      </dsp:style>
      <dsp:txBody>
        <a:bodyPr spcFirstLastPara="0" vert="horz" wrap="square" lIns="36005" tIns="12002" rIns="12002" bIns="12002" numCol="1" spcCol="1270" anchor="ctr" anchorCtr="0">
          <a:noAutofit/>
        </a:bodyPr>
        <a:lstStyle/>
        <a:p>
          <a:pPr marL="0" lvl="0" indent="0" algn="ctr" defTabSz="400050">
            <a:lnSpc>
              <a:spcPct val="90000"/>
            </a:lnSpc>
            <a:spcBef>
              <a:spcPct val="0"/>
            </a:spcBef>
            <a:spcAft>
              <a:spcPct val="35000"/>
            </a:spcAft>
            <a:buNone/>
          </a:pPr>
          <a:r>
            <a:rPr lang="fi-FI" sz="900" kern="1200"/>
            <a:t>Ostopanokset</a:t>
          </a:r>
        </a:p>
      </dsp:txBody>
      <dsp:txXfrm>
        <a:off x="5035426" y="0"/>
        <a:ext cx="1311406" cy="466725"/>
      </dsp:txXfrm>
    </dsp:sp>
    <dsp:sp modelId="{5475B389-83AA-48AB-A11F-E6140D7F40BA}">
      <dsp:nvSpPr>
        <dsp:cNvPr id="0" name=""/>
        <dsp:cNvSpPr/>
      </dsp:nvSpPr>
      <dsp:spPr>
        <a:xfrm>
          <a:off x="6402381" y="0"/>
          <a:ext cx="1778131" cy="466725"/>
        </a:xfrm>
        <a:prstGeom prst="chevron">
          <a:avLst/>
        </a:prstGeom>
        <a:solidFill>
          <a:schemeClr val="bg2">
            <a:lumMod val="50000"/>
          </a:schemeClr>
        </a:solidFill>
        <a:ln>
          <a:noFill/>
        </a:ln>
        <a:effectLst>
          <a:outerShdw blurRad="149987" dist="250190" dir="8460000" algn="ctr" rotWithShape="0">
            <a:srgbClr val="000000">
              <a:alpha val="28000"/>
            </a:srgbClr>
          </a:outerShdw>
        </a:effectLst>
        <a:scene3d>
          <a:camera prst="orthographicFront">
            <a:rot lat="0" lon="0" rev="0"/>
          </a:camera>
          <a:lightRig rig="contrasting" dir="t">
            <a:rot lat="0" lon="0" rev="1500000"/>
          </a:lightRig>
        </a:scene3d>
        <a:sp3d prstMaterial="metal">
          <a:bevelT w="88900" h="88900"/>
        </a:sp3d>
      </dsp:spPr>
      <dsp:style>
        <a:lnRef idx="0">
          <a:scrgbClr r="0" g="0" b="0"/>
        </a:lnRef>
        <a:fillRef idx="3">
          <a:scrgbClr r="0" g="0" b="0"/>
        </a:fillRef>
        <a:effectRef idx="2">
          <a:scrgbClr r="0" g="0" b="0"/>
        </a:effectRef>
        <a:fontRef idx="minor">
          <a:schemeClr val="lt1"/>
        </a:fontRef>
      </dsp:style>
      <dsp:txBody>
        <a:bodyPr spcFirstLastPara="0" vert="horz" wrap="square" lIns="36005" tIns="12002" rIns="12002" bIns="12002" numCol="1" spcCol="1270" anchor="ctr" anchorCtr="0">
          <a:noAutofit/>
        </a:bodyPr>
        <a:lstStyle/>
        <a:p>
          <a:pPr marL="0" lvl="0" indent="0" algn="ctr" defTabSz="400050">
            <a:lnSpc>
              <a:spcPct val="90000"/>
            </a:lnSpc>
            <a:spcBef>
              <a:spcPct val="0"/>
            </a:spcBef>
            <a:spcAft>
              <a:spcPct val="35000"/>
            </a:spcAft>
            <a:buNone/>
          </a:pPr>
          <a:r>
            <a:rPr lang="fi-FI" sz="900" kern="1200"/>
            <a:t>Työmäärä</a:t>
          </a:r>
        </a:p>
      </dsp:txBody>
      <dsp:txXfrm>
        <a:off x="6635744" y="0"/>
        <a:ext cx="1311406" cy="466725"/>
      </dsp:txXfrm>
    </dsp:sp>
    <dsp:sp modelId="{8B921E4B-7BB9-43B7-A20F-4219100A6314}">
      <dsp:nvSpPr>
        <dsp:cNvPr id="0" name=""/>
        <dsp:cNvSpPr/>
      </dsp:nvSpPr>
      <dsp:spPr>
        <a:xfrm>
          <a:off x="8002699" y="0"/>
          <a:ext cx="1778131" cy="466725"/>
        </a:xfrm>
        <a:prstGeom prst="chevron">
          <a:avLst/>
        </a:prstGeom>
        <a:solidFill>
          <a:schemeClr val="tx2">
            <a:lumMod val="75000"/>
          </a:schemeClr>
        </a:solidFill>
        <a:ln>
          <a:noFill/>
        </a:ln>
        <a:effectLst>
          <a:outerShdw blurRad="149987" dist="250190" dir="8460000" algn="ctr" rotWithShape="0">
            <a:srgbClr val="000000">
              <a:alpha val="28000"/>
            </a:srgbClr>
          </a:outerShdw>
        </a:effectLst>
        <a:scene3d>
          <a:camera prst="orthographicFront">
            <a:rot lat="0" lon="0" rev="0"/>
          </a:camera>
          <a:lightRig rig="contrasting" dir="t">
            <a:rot lat="0" lon="0" rev="1500000"/>
          </a:lightRig>
        </a:scene3d>
        <a:sp3d prstMaterial="metal">
          <a:bevelT w="88900" h="88900"/>
        </a:sp3d>
      </dsp:spPr>
      <dsp:style>
        <a:lnRef idx="0">
          <a:scrgbClr r="0" g="0" b="0"/>
        </a:lnRef>
        <a:fillRef idx="3">
          <a:scrgbClr r="0" g="0" b="0"/>
        </a:fillRef>
        <a:effectRef idx="2">
          <a:scrgbClr r="0" g="0" b="0"/>
        </a:effectRef>
        <a:fontRef idx="minor">
          <a:schemeClr val="lt1"/>
        </a:fontRef>
      </dsp:style>
      <dsp:txBody>
        <a:bodyPr spcFirstLastPara="0" vert="horz" wrap="square" lIns="36005" tIns="12002" rIns="12002" bIns="12002" numCol="1" spcCol="1270" anchor="ctr" anchorCtr="0">
          <a:noAutofit/>
        </a:bodyPr>
        <a:lstStyle/>
        <a:p>
          <a:pPr marL="0" lvl="0" indent="0" algn="ctr" defTabSz="400050">
            <a:lnSpc>
              <a:spcPct val="90000"/>
            </a:lnSpc>
            <a:spcBef>
              <a:spcPct val="0"/>
            </a:spcBef>
            <a:spcAft>
              <a:spcPct val="35000"/>
            </a:spcAft>
            <a:buNone/>
          </a:pPr>
          <a:r>
            <a:rPr lang="fi-FI" sz="900" kern="1200"/>
            <a:t>Investoinnit</a:t>
          </a:r>
        </a:p>
      </dsp:txBody>
      <dsp:txXfrm>
        <a:off x="8236062" y="0"/>
        <a:ext cx="1311406" cy="466725"/>
      </dsp:txXfrm>
    </dsp:sp>
    <dsp:sp modelId="{0043EA8E-E4EB-46EC-9757-9BF293B05FB3}">
      <dsp:nvSpPr>
        <dsp:cNvPr id="0" name=""/>
        <dsp:cNvSpPr/>
      </dsp:nvSpPr>
      <dsp:spPr>
        <a:xfrm>
          <a:off x="9603017" y="0"/>
          <a:ext cx="1778131" cy="466725"/>
        </a:xfrm>
        <a:prstGeom prst="chevron">
          <a:avLst/>
        </a:prstGeom>
        <a:solidFill>
          <a:schemeClr val="accent5">
            <a:lumMod val="60000"/>
            <a:lumOff val="40000"/>
          </a:schemeClr>
        </a:solidFill>
        <a:ln>
          <a:noFill/>
        </a:ln>
        <a:effectLst>
          <a:outerShdw blurRad="149987" dist="250190" dir="8460000" algn="ctr" rotWithShape="0">
            <a:srgbClr val="000000">
              <a:alpha val="28000"/>
            </a:srgbClr>
          </a:outerShdw>
        </a:effectLst>
        <a:scene3d>
          <a:camera prst="orthographicFront">
            <a:rot lat="0" lon="0" rev="0"/>
          </a:camera>
          <a:lightRig rig="contrasting" dir="t">
            <a:rot lat="0" lon="0" rev="1500000"/>
          </a:lightRig>
        </a:scene3d>
        <a:sp3d prstMaterial="metal">
          <a:bevelT w="88900" h="88900"/>
        </a:sp3d>
      </dsp:spPr>
      <dsp:style>
        <a:lnRef idx="0">
          <a:scrgbClr r="0" g="0" b="0"/>
        </a:lnRef>
        <a:fillRef idx="3">
          <a:scrgbClr r="0" g="0" b="0"/>
        </a:fillRef>
        <a:effectRef idx="2">
          <a:scrgbClr r="0" g="0" b="0"/>
        </a:effectRef>
        <a:fontRef idx="minor">
          <a:schemeClr val="lt1"/>
        </a:fontRef>
      </dsp:style>
      <dsp:txBody>
        <a:bodyPr spcFirstLastPara="0" vert="horz" wrap="square" lIns="36005" tIns="12002" rIns="12002" bIns="12002" numCol="1" spcCol="1270" anchor="ctr" anchorCtr="0">
          <a:noAutofit/>
        </a:bodyPr>
        <a:lstStyle/>
        <a:p>
          <a:pPr marL="0" lvl="0" indent="0" algn="ctr" defTabSz="400050">
            <a:lnSpc>
              <a:spcPct val="90000"/>
            </a:lnSpc>
            <a:spcBef>
              <a:spcPct val="0"/>
            </a:spcBef>
            <a:spcAft>
              <a:spcPct val="35000"/>
            </a:spcAft>
            <a:buNone/>
          </a:pPr>
          <a:r>
            <a:rPr lang="fi-FI" sz="900" kern="1200"/>
            <a:t>Kustannusten jako</a:t>
          </a:r>
        </a:p>
      </dsp:txBody>
      <dsp:txXfrm>
        <a:off x="9836380" y="0"/>
        <a:ext cx="1311406" cy="466725"/>
      </dsp:txXfrm>
    </dsp:sp>
    <dsp:sp modelId="{D4CB45D7-ECEB-4F8A-A16C-7B246DF47214}">
      <dsp:nvSpPr>
        <dsp:cNvPr id="0" name=""/>
        <dsp:cNvSpPr/>
      </dsp:nvSpPr>
      <dsp:spPr>
        <a:xfrm>
          <a:off x="11203335" y="0"/>
          <a:ext cx="1778131" cy="466725"/>
        </a:xfrm>
        <a:prstGeom prst="chevron">
          <a:avLst/>
        </a:prstGeom>
        <a:solidFill>
          <a:schemeClr val="accent2">
            <a:lumMod val="50000"/>
          </a:schemeClr>
        </a:solidFill>
        <a:ln>
          <a:noFill/>
        </a:ln>
        <a:effectLst>
          <a:outerShdw blurRad="149987" dist="250190" dir="8460000" algn="ctr" rotWithShape="0">
            <a:srgbClr val="000000">
              <a:alpha val="28000"/>
            </a:srgbClr>
          </a:outerShdw>
        </a:effectLst>
        <a:scene3d>
          <a:camera prst="orthographicFront">
            <a:rot lat="0" lon="0" rev="0"/>
          </a:camera>
          <a:lightRig rig="contrasting" dir="t">
            <a:rot lat="0" lon="0" rev="1500000"/>
          </a:lightRig>
        </a:scene3d>
        <a:sp3d prstMaterial="metal">
          <a:bevelT w="88900" h="88900"/>
        </a:sp3d>
      </dsp:spPr>
      <dsp:style>
        <a:lnRef idx="0">
          <a:scrgbClr r="0" g="0" b="0"/>
        </a:lnRef>
        <a:fillRef idx="3">
          <a:scrgbClr r="0" g="0" b="0"/>
        </a:fillRef>
        <a:effectRef idx="2">
          <a:scrgbClr r="0" g="0" b="0"/>
        </a:effectRef>
        <a:fontRef idx="minor">
          <a:schemeClr val="lt1"/>
        </a:fontRef>
      </dsp:style>
      <dsp:txBody>
        <a:bodyPr spcFirstLastPara="0" vert="horz" wrap="square" lIns="36005" tIns="12002" rIns="12002" bIns="12002" numCol="1" spcCol="1270" anchor="ctr" anchorCtr="0">
          <a:noAutofit/>
        </a:bodyPr>
        <a:lstStyle/>
        <a:p>
          <a:pPr marL="0" lvl="0" indent="0" algn="ctr" defTabSz="400050">
            <a:lnSpc>
              <a:spcPct val="90000"/>
            </a:lnSpc>
            <a:spcBef>
              <a:spcPct val="0"/>
            </a:spcBef>
            <a:spcAft>
              <a:spcPct val="35000"/>
            </a:spcAft>
            <a:buNone/>
          </a:pPr>
          <a:r>
            <a:rPr lang="fi-FI" sz="900" kern="1200"/>
            <a:t>Vertaa tuotanto-kustannuksia</a:t>
          </a:r>
        </a:p>
      </dsp:txBody>
      <dsp:txXfrm>
        <a:off x="11436698" y="0"/>
        <a:ext cx="1311406" cy="466725"/>
      </dsp:txXfrm>
    </dsp:sp>
  </dsp:spTree>
</dsp:drawing>
</file>

<file path=xl/diagrams/layout1.xml><?xml version="1.0" encoding="utf-8"?>
<dgm:layoutDef xmlns:dgm="http://schemas.openxmlformats.org/drawingml/2006/diagram" xmlns:a="http://schemas.openxmlformats.org/drawingml/2006/main" uniqueId="urn:microsoft.com/office/officeart/2005/8/layout/process5">
  <dgm:title val=""/>
  <dgm:desc val=""/>
  <dgm:catLst>
    <dgm:cat type="process" pri="17000"/>
  </dgm:catLst>
  <dgm:sampData>
    <dgm:dataModel>
      <dgm:ptLst>
        <dgm:pt modelId="0" type="doc"/>
        <dgm:pt modelId="1">
          <dgm:prSet phldr="1"/>
        </dgm:pt>
        <dgm:pt modelId="2">
          <dgm:prSet phldr="1"/>
        </dgm:pt>
        <dgm:pt modelId="3">
          <dgm:prSet phldr="1"/>
        </dgm:pt>
        <dgm:pt modelId="4">
          <dgm:prSet phldr="1"/>
        </dgm:pt>
        <dgm:pt modelId="5">
          <dgm:prSet phldr="1"/>
        </dgm:pt>
      </dgm:ptLst>
      <dgm:cxnLst>
        <dgm:cxn modelId="7" srcId="0" destId="1" srcOrd="0" destOrd="0"/>
        <dgm:cxn modelId="8" srcId="0" destId="2" srcOrd="1" destOrd="0"/>
        <dgm:cxn modelId="9" srcId="0" destId="3" srcOrd="2" destOrd="0"/>
        <dgm:cxn modelId="10" srcId="0" destId="4" srcOrd="3" destOrd="0"/>
        <dgm:cxn modelId="11" srcId="0" destId="5" srcOrd="4" destOrd="0"/>
      </dgm:cxn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diagram">
    <dgm:varLst>
      <dgm:dir/>
      <dgm:resizeHandles val="exact"/>
    </dgm:varLst>
    <dgm:choose name="Name0">
      <dgm:if name="Name1" axis="self" func="var" arg="dir" op="equ" val="norm">
        <dgm:alg type="snake">
          <dgm:param type="grDir" val="tL"/>
          <dgm:param type="flowDir" val="row"/>
          <dgm:param type="contDir" val="revDir"/>
          <dgm:param type="bkpt" val="endCnv"/>
        </dgm:alg>
      </dgm:if>
      <dgm:else name="Name2">
        <dgm:alg type="snake">
          <dgm:param type="grDir" val="tR"/>
          <dgm:param type="flowDir" val="row"/>
          <dgm:param type="contDir" val="revDir"/>
          <dgm:param type="bkpt" val="endCnv"/>
        </dgm:alg>
      </dgm:else>
    </dgm:choose>
    <dgm:shape xmlns:r="http://schemas.openxmlformats.org/officeDocument/2006/relationships" r:blip="">
      <dgm:adjLst/>
    </dgm:shape>
    <dgm:presOf/>
    <dgm:constrLst>
      <dgm:constr type="w" for="ch" ptType="node" refType="w"/>
      <dgm:constr type="w" for="ch" forName="sibTrans" refType="w" refFor="ch" refPtType="node" op="equ" fact="0.4"/>
      <dgm:constr type="sp" refType="w" refFor="ch" refForName="sibTrans" op="equ"/>
      <dgm:constr type="primFontSz" for="ch" ptType="node" op="equ" val="65"/>
      <dgm:constr type="primFontSz" for="des" forName="connectorText" op="equ" val="55"/>
      <dgm:constr type="primFontSz" for="des" forName="connectorText" refType="primFontSz" refFor="ch" refPtType="node" op="lte" fact="0.8"/>
    </dgm:constrLst>
    <dgm:ruleLst/>
    <dgm:forEach name="nodesForEach" axis="ch" ptType="node">
      <dgm:layoutNode name="node">
        <dgm:varLst>
          <dgm:bulletEnabled val="1"/>
        </dgm:varLst>
        <dgm:alg type="tx"/>
        <dgm:shape xmlns:r="http://schemas.openxmlformats.org/officeDocument/2006/relationships" type="roundRect" r:blip="">
          <dgm:adjLst>
            <dgm:adj idx="1" val="0.1"/>
          </dgm:adjLst>
        </dgm:shape>
        <dgm:presOf axis="desOrSelf" ptType="node"/>
        <dgm:constrLst>
          <dgm:constr type="h" refType="w" fact="0.6"/>
          <dgm:constr type="tMarg" refType="primFontSz" fact="0.3"/>
          <dgm:constr type="bMarg" refType="primFontSz" fact="0.3"/>
          <dgm:constr type="lMarg" refType="primFontSz" fact="0.3"/>
          <dgm:constr type="rMarg" refType="primFontSz" fact="0.3"/>
        </dgm:constrLst>
        <dgm:ruleLst>
          <dgm:rule type="primFontSz" val="5" fact="NaN" max="NaN"/>
        </dgm:ruleLst>
      </dgm:layoutNode>
      <dgm:forEach name="sibTransForEach" axis="followSib" ptType="sibTrans" cnt="1">
        <dgm:layoutNode name="sibTrans">
          <dgm:alg type="conn">
            <dgm:param type="begPts" val="auto"/>
            <dgm:param type="endPts" val="auto"/>
          </dgm:alg>
          <dgm:shape xmlns:r="http://schemas.openxmlformats.org/officeDocument/2006/relationships" type="conn" r:blip="">
            <dgm:adjLst/>
          </dgm:shape>
          <dgm:presOf axis="self"/>
          <dgm:constrLst>
            <dgm:constr type="h" refType="w" fact="0.62"/>
            <dgm:constr type="connDist"/>
          </dgm:constrLst>
          <dgm:ruleLst/>
          <dgm:layoutNode name="connectorText">
            <dgm:alg type="tx">
              <dgm:param type="autoTxRot" val="upr"/>
            </dgm:alg>
            <dgm:shape xmlns:r="http://schemas.openxmlformats.org/officeDocument/2006/relationships" type="conn" r:blip="" hideGeom="1">
              <dgm:adjLst/>
            </dgm:shape>
            <dgm:presOf axis="self"/>
            <dgm:constrLst>
              <dgm:constr type="lMarg"/>
              <dgm:constr type="rMarg"/>
              <dgm:constr type="tMarg"/>
              <dgm:constr type="bMarg"/>
            </dgm:constrLst>
            <dgm:ruleLst>
              <dgm:rule type="primFontSz" val="5" fact="NaN" max="NaN"/>
            </dgm:ruleLst>
          </dgm:layoutNode>
        </dgm:layoutNode>
      </dgm:forEach>
    </dgm:forEach>
  </dgm:layoutNode>
</dgm:layoutDef>
</file>

<file path=xl/diagrams/layout2.xml><?xml version="1.0" encoding="utf-8"?>
<dgm:layoutDef xmlns:dgm="http://schemas.openxmlformats.org/drawingml/2006/diagram" xmlns:a="http://schemas.openxmlformats.org/drawingml/2006/main" uniqueId="urn:microsoft.com/office/officeart/2005/8/layout/chevron1">
  <dgm:title val=""/>
  <dgm:desc val=""/>
  <dgm:catLst>
    <dgm:cat type="process" pri="9000"/>
  </dgm:catLst>
  <dgm:sampData useDef="1">
    <dgm:dataModel>
      <dgm:pt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Name0">
    <dgm:varLst>
      <dgm:dir/>
      <dgm:animLvl val="lvl"/>
      <dgm:resizeHandles val="exact"/>
    </dgm:varLst>
    <dgm:choose name="Name1">
      <dgm:if name="Name2" func="var" arg="dir" op="equ" val="norm">
        <dgm:alg type="lin"/>
      </dgm:if>
      <dgm:else name="Name3">
        <dgm:alg type="lin">
          <dgm:param type="linDir" val="fromR"/>
        </dgm:alg>
      </dgm:else>
    </dgm:choose>
    <dgm:shape xmlns:r="http://schemas.openxmlformats.org/officeDocument/2006/relationships" r:blip="">
      <dgm:adjLst/>
    </dgm:shape>
    <dgm:presOf/>
    <dgm:choose name="Name4">
      <dgm:if name="Name5" axis="des" func="maxDepth" op="gte" val="2">
        <dgm:constrLst>
          <dgm:constr type="h" for="ch" forName="composite" refType="h"/>
          <dgm:constr type="w" for="ch" forName="composite" refType="w"/>
          <dgm:constr type="w" for="des" forName="parTx"/>
          <dgm:constr type="h" for="des" forName="parTx" op="equ"/>
          <dgm:constr type="w" for="des" forName="desTx"/>
          <dgm:constr type="h" for="des" forName="desTx" op="equ"/>
          <dgm:constr type="primFontSz" for="des" forName="parTx" val="65"/>
          <dgm:constr type="secFontSz" for="des" forName="desTx" refType="primFontSz" refFor="des" refForName="parTx" op="equ"/>
          <dgm:constr type="h" for="des" forName="parTx" refType="primFontSz" refFor="des" refForName="parTx" fact="1.5"/>
          <dgm:constr type="h" for="des" forName="desTx" refType="primFontSz" refFor="des" refForName="parTx" fact="0.5"/>
          <dgm:constr type="w" for="ch" forName="space" op="equ" val="-6"/>
        </dgm:constrLst>
        <dgm:ruleLst>
          <dgm:rule type="w" for="ch" forName="composite" val="0" fact="NaN" max="NaN"/>
          <dgm:rule type="primFontSz" for="des" forName="parTx" val="5" fact="NaN" max="NaN"/>
        </dgm:ruleLst>
        <dgm:forEach name="Name6" axis="ch" ptType="node">
          <dgm:layoutNode name="composite">
            <dgm:alg type="composite"/>
            <dgm:shape xmlns:r="http://schemas.openxmlformats.org/officeDocument/2006/relationships" r:blip="">
              <dgm:adjLst/>
            </dgm:shape>
            <dgm:presOf/>
            <dgm:choose name="Name7">
              <dgm:if name="Name8" func="var" arg="dir" op="equ" val="norm">
                <dgm:constrLst>
                  <dgm:constr type="l" for="ch" forName="parTx"/>
                  <dgm:constr type="w" for="ch" forName="parTx" refType="w"/>
                  <dgm:constr type="t" for="ch" forName="parTx"/>
                  <dgm:constr type="l" for="ch" forName="desTx"/>
                  <dgm:constr type="w" for="ch" forName="desTx" refType="w" refFor="ch" refForName="parTx" fact="0.8"/>
                  <dgm:constr type="t" for="ch" forName="desTx" refType="h" refFor="ch" refForName="parTx" fact="1.125"/>
                </dgm:constrLst>
              </dgm:if>
              <dgm:else name="Name9">
                <dgm:constrLst>
                  <dgm:constr type="l" for="ch" forName="parTx"/>
                  <dgm:constr type="w" for="ch" forName="parTx" refType="w"/>
                  <dgm:constr type="t" for="ch" forName="parTx"/>
                  <dgm:constr type="l" for="ch" forName="desTx" refType="w" fact="0.2"/>
                  <dgm:constr type="w" for="ch" forName="desTx" refType="w" refFor="ch" refForName="parTx" fact="0.8"/>
                  <dgm:constr type="t" for="ch" forName="desTx" refType="h" refFor="ch" refForName="parTx" fact="1.125"/>
                </dgm:constrLst>
              </dgm:else>
            </dgm:choose>
            <dgm:ruleLst>
              <dgm:rule type="h" val="INF" fact="NaN" max="NaN"/>
            </dgm:ruleLst>
            <dgm:layoutNode name="parTx">
              <dgm:varLst>
                <dgm:chMax val="0"/>
                <dgm:chPref val="0"/>
                <dgm:bulletEnabled val="1"/>
              </dgm:varLst>
              <dgm:alg type="tx"/>
              <dgm:choose name="Name10">
                <dgm:if name="Name11" func="var" arg="dir" op="equ" val="norm">
                  <dgm:shape xmlns:r="http://schemas.openxmlformats.org/officeDocument/2006/relationships" type="chevron" r:blip="">
                    <dgm:adjLst/>
                  </dgm:shape>
                </dgm:if>
                <dgm:else name="Name12">
                  <dgm:shape xmlns:r="http://schemas.openxmlformats.org/officeDocument/2006/relationships" rot="180" type="chevron" r:blip="">
                    <dgm:adjLst/>
                  </dgm:shape>
                </dgm:else>
              </dgm:choose>
              <dgm:presOf axis="self" ptType="node"/>
              <dgm:choose name="Name13">
                <dgm:if name="Name14" func="var" arg="dir" op="equ" val="norm">
                  <dgm:constrLst>
                    <dgm:constr type="h" refType="w" op="lte" fact="0.4"/>
                    <dgm:constr type="h"/>
                    <dgm:constr type="tMarg" refType="primFontSz" fact="0.105"/>
                    <dgm:constr type="bMarg" refType="primFontSz" fact="0.105"/>
                    <dgm:constr type="lMarg" refType="primFontSz" fact="0.315"/>
                    <dgm:constr type="rMarg" refType="primFontSz" fact="0.105"/>
                  </dgm:constrLst>
                </dgm:if>
                <dgm:else name="Name15">
                  <dgm:constrLst>
                    <dgm:constr type="h" refType="w" op="lte" fact="0.4"/>
                    <dgm:constr type="h"/>
                    <dgm:constr type="tMarg" refType="primFontSz" fact="0.105"/>
                    <dgm:constr type="bMarg" refType="primFontSz" fact="0.105"/>
                    <dgm:constr type="lMarg" refType="primFontSz" fact="0.105"/>
                    <dgm:constr type="rMarg" refType="primFontSz" fact="0.315"/>
                  </dgm:constrLst>
                </dgm:else>
              </dgm:choose>
              <dgm:ruleLst>
                <dgm:rule type="h" val="INF" fact="NaN" max="NaN"/>
              </dgm:ruleLst>
            </dgm:layoutNode>
            <dgm:layoutNode name="desTx" styleLbl="revTx">
              <dgm:varLst>
                <dgm:bulletEnabled val="1"/>
              </dgm:varLst>
              <dgm:alg type="tx">
                <dgm:param type="stBulletLvl" val="1"/>
              </dgm:alg>
              <dgm:choose name="Name16">
                <dgm:if name="Name17" axis="ch" ptType="node" func="cnt" op="gte" val="1">
                  <dgm:shape xmlns:r="http://schemas.openxmlformats.org/officeDocument/2006/relationships" type="rect" r:blip="">
                    <dgm:adjLst/>
                  </dgm:shape>
                </dgm:if>
                <dgm:else name="Name18">
                  <dgm:shape xmlns:r="http://schemas.openxmlformats.org/officeDocument/2006/relationships" type="rect" r:blip="" hideGeom="1">
                    <dgm:adjLst/>
                  </dgm:shape>
                </dgm:else>
              </dgm:choose>
              <dgm:presOf axis="des" ptType="node"/>
              <dgm:constrLst>
                <dgm:constr type="secFontSz" val="65"/>
                <dgm:constr type="primFontSz" refType="secFontSz"/>
                <dgm:constr type="h"/>
                <dgm:constr type="tMarg"/>
                <dgm:constr type="bMarg"/>
                <dgm:constr type="rMarg"/>
                <dgm:constr type="lMarg"/>
              </dgm:constrLst>
              <dgm:ruleLst>
                <dgm:rule type="h" val="INF" fact="NaN" max="NaN"/>
              </dgm:ruleLst>
            </dgm:layoutNode>
          </dgm:layoutNode>
          <dgm:forEach name="Name19" axis="followSib" ptType="sibTrans" cnt="1">
            <dgm:layoutNode name="space">
              <dgm:alg type="sp"/>
              <dgm:shape xmlns:r="http://schemas.openxmlformats.org/officeDocument/2006/relationships" r:blip="">
                <dgm:adjLst/>
              </dgm:shape>
              <dgm:presOf/>
              <dgm:constrLst/>
              <dgm:ruleLst/>
            </dgm:layoutNode>
          </dgm:forEach>
        </dgm:forEach>
      </dgm:if>
      <dgm:else name="Name20">
        <dgm:constrLst>
          <dgm:constr type="w" for="ch" forName="parTxOnly" refType="w"/>
          <dgm:constr type="h" for="des" forName="parTxOnly" op="equ"/>
          <dgm:constr type="primFontSz" for="des" forName="parTxOnly" op="equ" val="65"/>
          <dgm:constr type="w" for="ch" forName="parTxOnlySpace" refType="w" refFor="ch" refForName="parTxOnly" fact="-0.1"/>
        </dgm:constrLst>
        <dgm:ruleLst/>
        <dgm:forEach name="Name21" axis="ch" ptType="node">
          <dgm:layoutNode name="parTxOnly">
            <dgm:varLst>
              <dgm:chMax val="0"/>
              <dgm:chPref val="0"/>
              <dgm:bulletEnabled val="1"/>
            </dgm:varLst>
            <dgm:alg type="tx"/>
            <dgm:choose name="Name22">
              <dgm:if name="Name23" func="var" arg="dir" op="equ" val="norm">
                <dgm:shape xmlns:r="http://schemas.openxmlformats.org/officeDocument/2006/relationships" type="chevron" r:blip="">
                  <dgm:adjLst/>
                </dgm:shape>
              </dgm:if>
              <dgm:else name="Name24">
                <dgm:shape xmlns:r="http://schemas.openxmlformats.org/officeDocument/2006/relationships" rot="180" type="chevron" r:blip="">
                  <dgm:adjLst/>
                </dgm:shape>
              </dgm:else>
            </dgm:choose>
            <dgm:presOf axis="self" ptType="node"/>
            <dgm:choose name="Name25">
              <dgm:if name="Name26" func="var" arg="dir" op="equ" val="norm">
                <dgm:constrLst>
                  <dgm:constr type="h" refType="w" op="equ" fact="0.4"/>
                  <dgm:constr type="tMarg" refType="primFontSz" fact="0.105"/>
                  <dgm:constr type="bMarg" refType="primFontSz" fact="0.105"/>
                  <dgm:constr type="lMarg" refType="primFontSz" fact="0.315"/>
                  <dgm:constr type="rMarg" refType="primFontSz" fact="0.105"/>
                </dgm:constrLst>
              </dgm:if>
              <dgm:else name="Name27">
                <dgm:constrLst>
                  <dgm:constr type="h" refType="w" op="equ" fact="0.4"/>
                  <dgm:constr type="tMarg" refType="primFontSz" fact="0.105"/>
                  <dgm:constr type="bMarg" refType="primFontSz" fact="0.105"/>
                  <dgm:constr type="lMarg" refType="primFontSz" fact="0.105"/>
                  <dgm:constr type="rMarg" refType="primFontSz" fact="0.315"/>
                </dgm:constrLst>
              </dgm:else>
            </dgm:choose>
            <dgm:ruleLst>
              <dgm:rule type="primFontSz" val="5" fact="NaN" max="NaN"/>
            </dgm:ruleLst>
          </dgm:layoutNode>
          <dgm:forEach name="Name28" axis="followSib" ptType="sibTrans" cnt="1">
            <dgm:layoutNode name="parTxOnlySpace">
              <dgm:alg type="sp"/>
              <dgm:shape xmlns:r="http://schemas.openxmlformats.org/officeDocument/2006/relationships" r:blip="">
                <dgm:adjLst/>
              </dgm:shape>
              <dgm:presOf/>
              <dgm:constrLst/>
              <dgm:ruleLst/>
            </dgm:layoutNode>
          </dgm:forEach>
        </dgm:forEach>
      </dgm:else>
    </dgm:choose>
  </dgm:layoutNode>
</dgm:layoutDef>
</file>

<file path=xl/diagrams/layout3.xml><?xml version="1.0" encoding="utf-8"?>
<dgm:layoutDef xmlns:dgm="http://schemas.openxmlformats.org/drawingml/2006/diagram" xmlns:a="http://schemas.openxmlformats.org/drawingml/2006/main" uniqueId="urn:microsoft.com/office/officeart/2005/8/layout/chevron1">
  <dgm:title val=""/>
  <dgm:desc val=""/>
  <dgm:catLst>
    <dgm:cat type="process" pri="9000"/>
  </dgm:catLst>
  <dgm:sampData useDef="1">
    <dgm:dataModel>
      <dgm:pt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Name0">
    <dgm:varLst>
      <dgm:dir/>
      <dgm:animLvl val="lvl"/>
      <dgm:resizeHandles val="exact"/>
    </dgm:varLst>
    <dgm:choose name="Name1">
      <dgm:if name="Name2" func="var" arg="dir" op="equ" val="norm">
        <dgm:alg type="lin"/>
      </dgm:if>
      <dgm:else name="Name3">
        <dgm:alg type="lin">
          <dgm:param type="linDir" val="fromR"/>
        </dgm:alg>
      </dgm:else>
    </dgm:choose>
    <dgm:shape xmlns:r="http://schemas.openxmlformats.org/officeDocument/2006/relationships" r:blip="">
      <dgm:adjLst/>
    </dgm:shape>
    <dgm:presOf/>
    <dgm:choose name="Name4">
      <dgm:if name="Name5" axis="des" func="maxDepth" op="gte" val="2">
        <dgm:constrLst>
          <dgm:constr type="h" for="ch" forName="composite" refType="h"/>
          <dgm:constr type="w" for="ch" forName="composite" refType="w"/>
          <dgm:constr type="w" for="des" forName="parTx"/>
          <dgm:constr type="h" for="des" forName="parTx" op="equ"/>
          <dgm:constr type="w" for="des" forName="desTx"/>
          <dgm:constr type="h" for="des" forName="desTx" op="equ"/>
          <dgm:constr type="primFontSz" for="des" forName="parTx" val="65"/>
          <dgm:constr type="secFontSz" for="des" forName="desTx" refType="primFontSz" refFor="des" refForName="parTx" op="equ"/>
          <dgm:constr type="h" for="des" forName="parTx" refType="primFontSz" refFor="des" refForName="parTx" fact="1.5"/>
          <dgm:constr type="h" for="des" forName="desTx" refType="primFontSz" refFor="des" refForName="parTx" fact="0.5"/>
          <dgm:constr type="w" for="ch" forName="space" op="equ" val="-6"/>
        </dgm:constrLst>
        <dgm:ruleLst>
          <dgm:rule type="w" for="ch" forName="composite" val="0" fact="NaN" max="NaN"/>
          <dgm:rule type="primFontSz" for="des" forName="parTx" val="5" fact="NaN" max="NaN"/>
        </dgm:ruleLst>
        <dgm:forEach name="Name6" axis="ch" ptType="node">
          <dgm:layoutNode name="composite">
            <dgm:alg type="composite"/>
            <dgm:shape xmlns:r="http://schemas.openxmlformats.org/officeDocument/2006/relationships" r:blip="">
              <dgm:adjLst/>
            </dgm:shape>
            <dgm:presOf/>
            <dgm:choose name="Name7">
              <dgm:if name="Name8" func="var" arg="dir" op="equ" val="norm">
                <dgm:constrLst>
                  <dgm:constr type="l" for="ch" forName="parTx"/>
                  <dgm:constr type="w" for="ch" forName="parTx" refType="w"/>
                  <dgm:constr type="t" for="ch" forName="parTx"/>
                  <dgm:constr type="l" for="ch" forName="desTx"/>
                  <dgm:constr type="w" for="ch" forName="desTx" refType="w" refFor="ch" refForName="parTx" fact="0.8"/>
                  <dgm:constr type="t" for="ch" forName="desTx" refType="h" refFor="ch" refForName="parTx" fact="1.125"/>
                </dgm:constrLst>
              </dgm:if>
              <dgm:else name="Name9">
                <dgm:constrLst>
                  <dgm:constr type="l" for="ch" forName="parTx"/>
                  <dgm:constr type="w" for="ch" forName="parTx" refType="w"/>
                  <dgm:constr type="t" for="ch" forName="parTx"/>
                  <dgm:constr type="l" for="ch" forName="desTx" refType="w" fact="0.2"/>
                  <dgm:constr type="w" for="ch" forName="desTx" refType="w" refFor="ch" refForName="parTx" fact="0.8"/>
                  <dgm:constr type="t" for="ch" forName="desTx" refType="h" refFor="ch" refForName="parTx" fact="1.125"/>
                </dgm:constrLst>
              </dgm:else>
            </dgm:choose>
            <dgm:ruleLst>
              <dgm:rule type="h" val="INF" fact="NaN" max="NaN"/>
            </dgm:ruleLst>
            <dgm:layoutNode name="parTx">
              <dgm:varLst>
                <dgm:chMax val="0"/>
                <dgm:chPref val="0"/>
                <dgm:bulletEnabled val="1"/>
              </dgm:varLst>
              <dgm:alg type="tx"/>
              <dgm:choose name="Name10">
                <dgm:if name="Name11" func="var" arg="dir" op="equ" val="norm">
                  <dgm:shape xmlns:r="http://schemas.openxmlformats.org/officeDocument/2006/relationships" type="chevron" r:blip="">
                    <dgm:adjLst/>
                  </dgm:shape>
                </dgm:if>
                <dgm:else name="Name12">
                  <dgm:shape xmlns:r="http://schemas.openxmlformats.org/officeDocument/2006/relationships" rot="180" type="chevron" r:blip="">
                    <dgm:adjLst/>
                  </dgm:shape>
                </dgm:else>
              </dgm:choose>
              <dgm:presOf axis="self" ptType="node"/>
              <dgm:choose name="Name13">
                <dgm:if name="Name14" func="var" arg="dir" op="equ" val="norm">
                  <dgm:constrLst>
                    <dgm:constr type="h" refType="w" op="lte" fact="0.4"/>
                    <dgm:constr type="h"/>
                    <dgm:constr type="tMarg" refType="primFontSz" fact="0.105"/>
                    <dgm:constr type="bMarg" refType="primFontSz" fact="0.105"/>
                    <dgm:constr type="lMarg" refType="primFontSz" fact="0.315"/>
                    <dgm:constr type="rMarg" refType="primFontSz" fact="0.105"/>
                  </dgm:constrLst>
                </dgm:if>
                <dgm:else name="Name15">
                  <dgm:constrLst>
                    <dgm:constr type="h" refType="w" op="lte" fact="0.4"/>
                    <dgm:constr type="h"/>
                    <dgm:constr type="tMarg" refType="primFontSz" fact="0.105"/>
                    <dgm:constr type="bMarg" refType="primFontSz" fact="0.105"/>
                    <dgm:constr type="lMarg" refType="primFontSz" fact="0.105"/>
                    <dgm:constr type="rMarg" refType="primFontSz" fact="0.315"/>
                  </dgm:constrLst>
                </dgm:else>
              </dgm:choose>
              <dgm:ruleLst>
                <dgm:rule type="h" val="INF" fact="NaN" max="NaN"/>
              </dgm:ruleLst>
            </dgm:layoutNode>
            <dgm:layoutNode name="desTx" styleLbl="revTx">
              <dgm:varLst>
                <dgm:bulletEnabled val="1"/>
              </dgm:varLst>
              <dgm:alg type="tx">
                <dgm:param type="stBulletLvl" val="1"/>
              </dgm:alg>
              <dgm:choose name="Name16">
                <dgm:if name="Name17" axis="ch" ptType="node" func="cnt" op="gte" val="1">
                  <dgm:shape xmlns:r="http://schemas.openxmlformats.org/officeDocument/2006/relationships" type="rect" r:blip="">
                    <dgm:adjLst/>
                  </dgm:shape>
                </dgm:if>
                <dgm:else name="Name18">
                  <dgm:shape xmlns:r="http://schemas.openxmlformats.org/officeDocument/2006/relationships" type="rect" r:blip="" hideGeom="1">
                    <dgm:adjLst/>
                  </dgm:shape>
                </dgm:else>
              </dgm:choose>
              <dgm:presOf axis="des" ptType="node"/>
              <dgm:constrLst>
                <dgm:constr type="secFontSz" val="65"/>
                <dgm:constr type="primFontSz" refType="secFontSz"/>
                <dgm:constr type="h"/>
                <dgm:constr type="tMarg"/>
                <dgm:constr type="bMarg"/>
                <dgm:constr type="rMarg"/>
                <dgm:constr type="lMarg"/>
              </dgm:constrLst>
              <dgm:ruleLst>
                <dgm:rule type="h" val="INF" fact="NaN" max="NaN"/>
              </dgm:ruleLst>
            </dgm:layoutNode>
          </dgm:layoutNode>
          <dgm:forEach name="Name19" axis="followSib" ptType="sibTrans" cnt="1">
            <dgm:layoutNode name="space">
              <dgm:alg type="sp"/>
              <dgm:shape xmlns:r="http://schemas.openxmlformats.org/officeDocument/2006/relationships" r:blip="">
                <dgm:adjLst/>
              </dgm:shape>
              <dgm:presOf/>
              <dgm:constrLst/>
              <dgm:ruleLst/>
            </dgm:layoutNode>
          </dgm:forEach>
        </dgm:forEach>
      </dgm:if>
      <dgm:else name="Name20">
        <dgm:constrLst>
          <dgm:constr type="w" for="ch" forName="parTxOnly" refType="w"/>
          <dgm:constr type="h" for="des" forName="parTxOnly" op="equ"/>
          <dgm:constr type="primFontSz" for="des" forName="parTxOnly" op="equ" val="65"/>
          <dgm:constr type="w" for="ch" forName="parTxOnlySpace" refType="w" refFor="ch" refForName="parTxOnly" fact="-0.1"/>
        </dgm:constrLst>
        <dgm:ruleLst/>
        <dgm:forEach name="Name21" axis="ch" ptType="node">
          <dgm:layoutNode name="parTxOnly">
            <dgm:varLst>
              <dgm:chMax val="0"/>
              <dgm:chPref val="0"/>
              <dgm:bulletEnabled val="1"/>
            </dgm:varLst>
            <dgm:alg type="tx"/>
            <dgm:choose name="Name22">
              <dgm:if name="Name23" func="var" arg="dir" op="equ" val="norm">
                <dgm:shape xmlns:r="http://schemas.openxmlformats.org/officeDocument/2006/relationships" type="chevron" r:blip="">
                  <dgm:adjLst/>
                </dgm:shape>
              </dgm:if>
              <dgm:else name="Name24">
                <dgm:shape xmlns:r="http://schemas.openxmlformats.org/officeDocument/2006/relationships" rot="180" type="chevron" r:blip="">
                  <dgm:adjLst/>
                </dgm:shape>
              </dgm:else>
            </dgm:choose>
            <dgm:presOf axis="self" ptType="node"/>
            <dgm:choose name="Name25">
              <dgm:if name="Name26" func="var" arg="dir" op="equ" val="norm">
                <dgm:constrLst>
                  <dgm:constr type="h" refType="w" op="equ" fact="0.4"/>
                  <dgm:constr type="tMarg" refType="primFontSz" fact="0.105"/>
                  <dgm:constr type="bMarg" refType="primFontSz" fact="0.105"/>
                  <dgm:constr type="lMarg" refType="primFontSz" fact="0.315"/>
                  <dgm:constr type="rMarg" refType="primFontSz" fact="0.105"/>
                </dgm:constrLst>
              </dgm:if>
              <dgm:else name="Name27">
                <dgm:constrLst>
                  <dgm:constr type="h" refType="w" op="equ" fact="0.4"/>
                  <dgm:constr type="tMarg" refType="primFontSz" fact="0.105"/>
                  <dgm:constr type="bMarg" refType="primFontSz" fact="0.105"/>
                  <dgm:constr type="lMarg" refType="primFontSz" fact="0.105"/>
                  <dgm:constr type="rMarg" refType="primFontSz" fact="0.315"/>
                </dgm:constrLst>
              </dgm:else>
            </dgm:choose>
            <dgm:ruleLst>
              <dgm:rule type="primFontSz" val="5" fact="NaN" max="NaN"/>
            </dgm:ruleLst>
          </dgm:layoutNode>
          <dgm:forEach name="Name28" axis="followSib" ptType="sibTrans" cnt="1">
            <dgm:layoutNode name="parTxOnlySpace">
              <dgm:alg type="sp"/>
              <dgm:shape xmlns:r="http://schemas.openxmlformats.org/officeDocument/2006/relationships" r:blip="">
                <dgm:adjLst/>
              </dgm:shape>
              <dgm:presOf/>
              <dgm:constrLst/>
              <dgm:ruleLst/>
            </dgm:layoutNode>
          </dgm:forEach>
        </dgm:forEach>
      </dgm:else>
    </dgm:choose>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2.xml><?xml version="1.0" encoding="utf-8"?>
<dgm:styleDef xmlns:dgm="http://schemas.openxmlformats.org/drawingml/2006/diagram" xmlns:a="http://schemas.openxmlformats.org/drawingml/2006/main" uniqueId="urn:microsoft.com/office/officeart/2005/8/quickstyle/3d2">
  <dgm:title val=""/>
  <dgm:desc val=""/>
  <dgm:catLst>
    <dgm:cat type="3D" pri="11200"/>
  </dgm:catLst>
  <dgm:scene3d>
    <a:camera prst="orthographicFront"/>
    <a:lightRig rig="threePt" dir="t"/>
  </dgm:scene3d>
  <dgm:styleLbl name="node0">
    <dgm:scene3d>
      <a:camera prst="orthographicFront"/>
      <a:lightRig rig="threePt" dir="t">
        <a:rot lat="0" lon="0" rev="7500000"/>
      </a:lightRig>
    </dgm:scene3d>
    <dgm:sp3d prstMaterial="plastic">
      <a:bevelT w="127000" h="25400" prst="relaxedInset"/>
    </dgm:sp3d>
    <dgm:txPr/>
    <dgm:style>
      <a:lnRef idx="0">
        <a:scrgbClr r="0" g="0" b="0"/>
      </a:lnRef>
      <a:fillRef idx="3">
        <a:scrgbClr r="0" g="0" b="0"/>
      </a:fillRef>
      <a:effectRef idx="2">
        <a:scrgbClr r="0" g="0" b="0"/>
      </a:effectRef>
      <a:fontRef idx="minor">
        <a:schemeClr val="lt1"/>
      </a:fontRef>
    </dgm:style>
  </dgm:styleLbl>
  <dgm:styleLbl name="lnNode1">
    <dgm:scene3d>
      <a:camera prst="orthographicFront"/>
      <a:lightRig rig="threePt" dir="t">
        <a:rot lat="0" lon="0" rev="7500000"/>
      </a:lightRig>
    </dgm:scene3d>
    <dgm:sp3d prstMaterial="plastic">
      <a:bevelT w="127000" h="25400" prst="relaxedInset"/>
    </dgm:sp3d>
    <dgm:txPr/>
    <dgm:style>
      <a:lnRef idx="1">
        <a:scrgbClr r="0" g="0" b="0"/>
      </a:lnRef>
      <a:fillRef idx="3">
        <a:scrgbClr r="0" g="0" b="0"/>
      </a:fillRef>
      <a:effectRef idx="2">
        <a:scrgbClr r="0" g="0" b="0"/>
      </a:effectRef>
      <a:fontRef idx="minor">
        <a:schemeClr val="lt1"/>
      </a:fontRef>
    </dgm:style>
  </dgm:styleLbl>
  <dgm:styleLbl name="vennNode1">
    <dgm:scene3d>
      <a:camera prst="orthographicFront"/>
      <a:lightRig rig="threePt" dir="t">
        <a:rot lat="0" lon="0" rev="7500000"/>
      </a:lightRig>
    </dgm:scene3d>
    <dgm:sp3d prstMaterial="plastic">
      <a:bevelT w="127000" h="25400" prst="relaxedInset"/>
    </dgm:sp3d>
    <dgm:txPr/>
    <dgm:style>
      <a:lnRef idx="0">
        <a:scrgbClr r="0" g="0" b="0"/>
      </a:lnRef>
      <a:fillRef idx="3">
        <a:scrgbClr r="0" g="0" b="0"/>
      </a:fillRef>
      <a:effectRef idx="2">
        <a:scrgbClr r="0" g="0" b="0"/>
      </a:effectRef>
      <a:fontRef idx="minor">
        <a:schemeClr val="tx1"/>
      </a:fontRef>
    </dgm:style>
  </dgm:styleLbl>
  <dgm:styleLbl name="alingNode1">
    <dgm:scene3d>
      <a:camera prst="orthographicFront"/>
      <a:lightRig rig="threePt" dir="t">
        <a:rot lat="0" lon="0" rev="7500000"/>
      </a:lightRig>
    </dgm:scene3d>
    <dgm:sp3d prstMaterial="plastic">
      <a:bevelT w="127000" h="25400" prst="relaxedInset"/>
    </dgm:sp3d>
    <dgm:txPr/>
    <dgm:style>
      <a:lnRef idx="0">
        <a:scrgbClr r="0" g="0" b="0"/>
      </a:lnRef>
      <a:fillRef idx="3">
        <a:scrgbClr r="0" g="0" b="0"/>
      </a:fillRef>
      <a:effectRef idx="2">
        <a:scrgbClr r="0" g="0" b="0"/>
      </a:effectRef>
      <a:fontRef idx="minor">
        <a:schemeClr val="lt1"/>
      </a:fontRef>
    </dgm:style>
  </dgm:styleLbl>
  <dgm:styleLbl name="node1">
    <dgm:scene3d>
      <a:camera prst="orthographicFront"/>
      <a:lightRig rig="threePt" dir="t">
        <a:rot lat="0" lon="0" rev="7500000"/>
      </a:lightRig>
    </dgm:scene3d>
    <dgm:sp3d prstMaterial="plastic">
      <a:bevelT w="127000" h="25400" prst="relaxedInset"/>
    </dgm:sp3d>
    <dgm:txPr/>
    <dgm:style>
      <a:lnRef idx="0">
        <a:scrgbClr r="0" g="0" b="0"/>
      </a:lnRef>
      <a:fillRef idx="3">
        <a:scrgbClr r="0" g="0" b="0"/>
      </a:fillRef>
      <a:effectRef idx="2">
        <a:scrgbClr r="0" g="0" b="0"/>
      </a:effectRef>
      <a:fontRef idx="minor">
        <a:schemeClr val="lt1"/>
      </a:fontRef>
    </dgm:style>
  </dgm:styleLbl>
  <dgm:styleLbl name="node2">
    <dgm:scene3d>
      <a:camera prst="orthographicFront"/>
      <a:lightRig rig="threePt" dir="t">
        <a:rot lat="0" lon="0" rev="7500000"/>
      </a:lightRig>
    </dgm:scene3d>
    <dgm:sp3d prstMaterial="plastic">
      <a:bevelT w="127000" h="25400" prst="relaxedInset"/>
    </dgm:sp3d>
    <dgm:txPr/>
    <dgm:style>
      <a:lnRef idx="0">
        <a:scrgbClr r="0" g="0" b="0"/>
      </a:lnRef>
      <a:fillRef idx="3">
        <a:scrgbClr r="0" g="0" b="0"/>
      </a:fillRef>
      <a:effectRef idx="2">
        <a:scrgbClr r="0" g="0" b="0"/>
      </a:effectRef>
      <a:fontRef idx="minor">
        <a:schemeClr val="lt1"/>
      </a:fontRef>
    </dgm:style>
  </dgm:styleLbl>
  <dgm:styleLbl name="node3">
    <dgm:scene3d>
      <a:camera prst="orthographicFront"/>
      <a:lightRig rig="threePt" dir="t">
        <a:rot lat="0" lon="0" rev="7500000"/>
      </a:lightRig>
    </dgm:scene3d>
    <dgm:sp3d prstMaterial="plastic">
      <a:bevelT w="127000" h="25400" prst="relaxedInset"/>
    </dgm:sp3d>
    <dgm:txPr/>
    <dgm:style>
      <a:lnRef idx="0">
        <a:scrgbClr r="0" g="0" b="0"/>
      </a:lnRef>
      <a:fillRef idx="3">
        <a:scrgbClr r="0" g="0" b="0"/>
      </a:fillRef>
      <a:effectRef idx="2">
        <a:scrgbClr r="0" g="0" b="0"/>
      </a:effectRef>
      <a:fontRef idx="minor">
        <a:schemeClr val="lt1"/>
      </a:fontRef>
    </dgm:style>
  </dgm:styleLbl>
  <dgm:styleLbl name="node4">
    <dgm:scene3d>
      <a:camera prst="orthographicFront"/>
      <a:lightRig rig="threePt" dir="t">
        <a:rot lat="0" lon="0" rev="7500000"/>
      </a:lightRig>
    </dgm:scene3d>
    <dgm:sp3d prstMaterial="plastic">
      <a:bevelT w="127000" h="25400" prst="relaxedInset"/>
    </dgm:sp3d>
    <dgm:txPr/>
    <dgm:style>
      <a:lnRef idx="0">
        <a:scrgbClr r="0" g="0" b="0"/>
      </a:lnRef>
      <a:fillRef idx="3">
        <a:scrgbClr r="0" g="0" b="0"/>
      </a:fillRef>
      <a:effectRef idx="2">
        <a:scrgbClr r="0" g="0" b="0"/>
      </a:effectRef>
      <a:fontRef idx="minor">
        <a:schemeClr val="lt1"/>
      </a:fontRef>
    </dgm:style>
  </dgm:styleLbl>
  <dgm:styleLbl name="fgImgPlace1">
    <dgm:scene3d>
      <a:camera prst="orthographicFront"/>
      <a:lightRig rig="threePt" dir="t">
        <a:rot lat="0" lon="0" rev="7500000"/>
      </a:lightRig>
    </dgm:scene3d>
    <dgm:sp3d z="152400" extrusionH="63500" prstMaterial="matte">
      <a:bevelT w="50800" h="19050" prst="relaxedInset"/>
      <a:contourClr>
        <a:schemeClr val="bg1"/>
      </a:contourClr>
    </dgm:sp3d>
    <dgm:txPr/>
    <dgm:style>
      <a:lnRef idx="0">
        <a:scrgbClr r="0" g="0" b="0"/>
      </a:lnRef>
      <a:fillRef idx="1">
        <a:scrgbClr r="0" g="0" b="0"/>
      </a:fillRef>
      <a:effectRef idx="0">
        <a:scrgbClr r="0" g="0" b="0"/>
      </a:effectRef>
      <a:fontRef idx="minor"/>
    </dgm:style>
  </dgm:styleLbl>
  <dgm:styleLbl name="alignImgPlace1">
    <dgm:scene3d>
      <a:camera prst="orthographicFront"/>
      <a:lightRig rig="threePt" dir="t">
        <a:rot lat="0" lon="0" rev="7500000"/>
      </a:lightRig>
    </dgm:scene3d>
    <dgm:sp3d z="254000" extrusionH="63500" contourW="12700" prstMaterial="matte">
      <a:contourClr>
        <a:schemeClr val="lt1"/>
      </a:contourClr>
    </dgm:sp3d>
    <dgm:txPr/>
    <dgm:style>
      <a:lnRef idx="0">
        <a:scrgbClr r="0" g="0" b="0"/>
      </a:lnRef>
      <a:fillRef idx="1">
        <a:scrgbClr r="0" g="0" b="0"/>
      </a:fillRef>
      <a:effectRef idx="0">
        <a:scrgbClr r="0" g="0" b="0"/>
      </a:effectRef>
      <a:fontRef idx="minor"/>
    </dgm:style>
  </dgm:styleLbl>
  <dgm:styleLbl name="bgImgPlace1">
    <dgm:scene3d>
      <a:camera prst="orthographicFront"/>
      <a:lightRig rig="threePt" dir="t">
        <a:rot lat="0" lon="0" rev="7500000"/>
      </a:lightRig>
    </dgm:scene3d>
    <dgm:sp3d z="-152400" extrusionH="63500" contourW="12700" prstMaterial="matte">
      <a:contourClr>
        <a:schemeClr val="lt1"/>
      </a:contourClr>
    </dgm:sp3d>
    <dgm:txPr/>
    <dgm:style>
      <a:lnRef idx="0">
        <a:scrgbClr r="0" g="0" b="0"/>
      </a:lnRef>
      <a:fillRef idx="1">
        <a:scrgbClr r="0" g="0" b="0"/>
      </a:fillRef>
      <a:effectRef idx="0">
        <a:scrgbClr r="0" g="0" b="0"/>
      </a:effectRef>
      <a:fontRef idx="minor"/>
    </dgm:style>
  </dgm:styleLbl>
  <dgm:styleLbl name="sibTrans2D1">
    <dgm:scene3d>
      <a:camera prst="orthographicFront"/>
      <a:lightRig rig="threePt" dir="t">
        <a:rot lat="0" lon="0" rev="7500000"/>
      </a:lightRig>
    </dgm:scene3d>
    <dgm:sp3d z="-70000" extrusionH="63500" prstMaterial="matte">
      <a:bevelT w="25400" h="6350" prst="relaxedInset"/>
      <a:contourClr>
        <a:schemeClr val="bg1"/>
      </a:contourClr>
    </dgm:sp3d>
    <dgm:txPr/>
    <dgm:style>
      <a:lnRef idx="0">
        <a:scrgbClr r="0" g="0" b="0"/>
      </a:lnRef>
      <a:fillRef idx="1">
        <a:scrgbClr r="0" g="0" b="0"/>
      </a:fillRef>
      <a:effectRef idx="2">
        <a:scrgbClr r="0" g="0" b="0"/>
      </a:effectRef>
      <a:fontRef idx="minor">
        <a:schemeClr val="lt1"/>
      </a:fontRef>
    </dgm:style>
  </dgm:styleLbl>
  <dgm:styleLbl name="fgSibTrans2D1">
    <dgm:scene3d>
      <a:camera prst="orthographicFront"/>
      <a:lightRig rig="threePt" dir="t">
        <a:rot lat="0" lon="0" rev="7500000"/>
      </a:lightRig>
    </dgm:scene3d>
    <dgm:sp3d z="152400" extrusionH="63500" prstMaterial="matte">
      <a:bevelT w="25400" h="6350" prst="relaxedInset"/>
      <a:contourClr>
        <a:schemeClr val="bg1"/>
      </a:contourClr>
    </dgm:sp3d>
    <dgm:txPr/>
    <dgm:style>
      <a:lnRef idx="0">
        <a:scrgbClr r="0" g="0" b="0"/>
      </a:lnRef>
      <a:fillRef idx="1">
        <a:scrgbClr r="0" g="0" b="0"/>
      </a:fillRef>
      <a:effectRef idx="2">
        <a:scrgbClr r="0" g="0" b="0"/>
      </a:effectRef>
      <a:fontRef idx="minor">
        <a:schemeClr val="lt1"/>
      </a:fontRef>
    </dgm:style>
  </dgm:styleLbl>
  <dgm:styleLbl name="bgSibTrans2D1">
    <dgm:scene3d>
      <a:camera prst="orthographicFront"/>
      <a:lightRig rig="threePt" dir="t">
        <a:rot lat="0" lon="0" rev="7500000"/>
      </a:lightRig>
    </dgm:scene3d>
    <dgm:sp3d z="-152400" extrusionH="63500" prstMaterial="matte">
      <a:bevelT w="25400" h="6350" prst="relaxedInset"/>
      <a:contourClr>
        <a:schemeClr val="bg1"/>
      </a:contourClr>
    </dgm:sp3d>
    <dgm:txPr/>
    <dgm:style>
      <a:lnRef idx="0">
        <a:scrgbClr r="0" g="0" b="0"/>
      </a:lnRef>
      <a:fillRef idx="1">
        <a:scrgbClr r="0" g="0" b="0"/>
      </a:fillRef>
      <a:effectRef idx="2">
        <a:scrgbClr r="0" g="0" b="0"/>
      </a:effectRef>
      <a:fontRef idx="minor">
        <a:schemeClr val="lt1"/>
      </a:fontRef>
    </dgm:style>
  </dgm:styleLbl>
  <dgm:styleLbl name="sibTrans1D1">
    <dgm:scene3d>
      <a:camera prst="orthographicFront"/>
      <a:lightRig rig="threePt" dir="t">
        <a:rot lat="0" lon="0" rev="7500000"/>
      </a:lightRig>
    </dgm:scene3d>
    <dgm:sp3d z="-40000" prstMaterial="matte"/>
    <dgm:txPr/>
    <dgm:style>
      <a:lnRef idx="1">
        <a:scrgbClr r="0" g="0" b="0"/>
      </a:lnRef>
      <a:fillRef idx="0">
        <a:scrgbClr r="0" g="0" b="0"/>
      </a:fillRef>
      <a:effectRef idx="0">
        <a:scrgbClr r="0" g="0" b="0"/>
      </a:effectRef>
      <a:fontRef idx="minor"/>
    </dgm:style>
  </dgm:styleLbl>
  <dgm:styleLbl name="callout">
    <dgm:scene3d>
      <a:camera prst="orthographicFront"/>
      <a:lightRig rig="threePt" dir="t">
        <a:rot lat="0" lon="0" rev="7500000"/>
      </a:lightRig>
    </dgm:scene3d>
    <dgm:sp3d z="127000" prstMaterial="matte"/>
    <dgm:txPr/>
    <dgm:style>
      <a:lnRef idx="2">
        <a:scrgbClr r="0" g="0" b="0"/>
      </a:lnRef>
      <a:fillRef idx="1">
        <a:scrgbClr r="0" g="0" b="0"/>
      </a:fillRef>
      <a:effectRef idx="0">
        <a:scrgbClr r="0" g="0" b="0"/>
      </a:effectRef>
      <a:fontRef idx="minor"/>
    </dgm:style>
  </dgm:styleLbl>
  <dgm:styleLbl name="asst0">
    <dgm:scene3d>
      <a:camera prst="orthographicFront"/>
      <a:lightRig rig="threePt" dir="t">
        <a:rot lat="0" lon="0" rev="7500000"/>
      </a:lightRig>
    </dgm:scene3d>
    <dgm:sp3d prstMaterial="plastic">
      <a:bevelT w="127000" h="25400" prst="relaxedInset"/>
    </dgm:sp3d>
    <dgm:txPr/>
    <dgm:style>
      <a:lnRef idx="0">
        <a:scrgbClr r="0" g="0" b="0"/>
      </a:lnRef>
      <a:fillRef idx="3">
        <a:scrgbClr r="0" g="0" b="0"/>
      </a:fillRef>
      <a:effectRef idx="2">
        <a:scrgbClr r="0" g="0" b="0"/>
      </a:effectRef>
      <a:fontRef idx="minor">
        <a:schemeClr val="lt1"/>
      </a:fontRef>
    </dgm:style>
  </dgm:styleLbl>
  <dgm:styleLbl name="asst1">
    <dgm:scene3d>
      <a:camera prst="orthographicFront"/>
      <a:lightRig rig="threePt" dir="t">
        <a:rot lat="0" lon="0" rev="7500000"/>
      </a:lightRig>
    </dgm:scene3d>
    <dgm:sp3d prstMaterial="plastic">
      <a:bevelT w="127000" h="25400" prst="relaxedInset"/>
    </dgm:sp3d>
    <dgm:txPr/>
    <dgm:style>
      <a:lnRef idx="0">
        <a:scrgbClr r="0" g="0" b="0"/>
      </a:lnRef>
      <a:fillRef idx="3">
        <a:scrgbClr r="0" g="0" b="0"/>
      </a:fillRef>
      <a:effectRef idx="2">
        <a:scrgbClr r="0" g="0" b="0"/>
      </a:effectRef>
      <a:fontRef idx="minor">
        <a:schemeClr val="lt1"/>
      </a:fontRef>
    </dgm:style>
  </dgm:styleLbl>
  <dgm:styleLbl name="asst2">
    <dgm:scene3d>
      <a:camera prst="orthographicFront"/>
      <a:lightRig rig="threePt" dir="t">
        <a:rot lat="0" lon="0" rev="7500000"/>
      </a:lightRig>
    </dgm:scene3d>
    <dgm:sp3d prstMaterial="plastic">
      <a:bevelT w="127000" h="25400" prst="relaxedInset"/>
    </dgm:sp3d>
    <dgm:txPr/>
    <dgm:style>
      <a:lnRef idx="0">
        <a:scrgbClr r="0" g="0" b="0"/>
      </a:lnRef>
      <a:fillRef idx="3">
        <a:scrgbClr r="0" g="0" b="0"/>
      </a:fillRef>
      <a:effectRef idx="2">
        <a:scrgbClr r="0" g="0" b="0"/>
      </a:effectRef>
      <a:fontRef idx="minor">
        <a:schemeClr val="lt1"/>
      </a:fontRef>
    </dgm:style>
  </dgm:styleLbl>
  <dgm:styleLbl name="asst3">
    <dgm:scene3d>
      <a:camera prst="orthographicFront"/>
      <a:lightRig rig="threePt" dir="t">
        <a:rot lat="0" lon="0" rev="7500000"/>
      </a:lightRig>
    </dgm:scene3d>
    <dgm:sp3d prstMaterial="plastic">
      <a:bevelT w="127000" h="25400" prst="relaxedInset"/>
    </dgm:sp3d>
    <dgm:txPr/>
    <dgm:style>
      <a:lnRef idx="0">
        <a:scrgbClr r="0" g="0" b="0"/>
      </a:lnRef>
      <a:fillRef idx="3">
        <a:scrgbClr r="0" g="0" b="0"/>
      </a:fillRef>
      <a:effectRef idx="2">
        <a:scrgbClr r="0" g="0" b="0"/>
      </a:effectRef>
      <a:fontRef idx="minor">
        <a:schemeClr val="lt1"/>
      </a:fontRef>
    </dgm:style>
  </dgm:styleLbl>
  <dgm:styleLbl name="parChTrans2D1">
    <dgm:scene3d>
      <a:camera prst="orthographicFront"/>
      <a:lightRig rig="threePt" dir="t">
        <a:rot lat="0" lon="0" rev="7500000"/>
      </a:lightRig>
    </dgm:scene3d>
    <dgm:sp3d extrusionH="63500" prstMaterial="matte">
      <a:bevelT w="50800" h="19050" prst="relaxedInset"/>
      <a:contourClr>
        <a:schemeClr val="bg1"/>
      </a:contourClr>
    </dgm:sp3d>
    <dgm:txPr/>
    <dgm:style>
      <a:lnRef idx="0">
        <a:scrgbClr r="0" g="0" b="0"/>
      </a:lnRef>
      <a:fillRef idx="1">
        <a:scrgbClr r="0" g="0" b="0"/>
      </a:fillRef>
      <a:effectRef idx="2">
        <a:scrgbClr r="0" g="0" b="0"/>
      </a:effectRef>
      <a:fontRef idx="minor">
        <a:schemeClr val="lt1"/>
      </a:fontRef>
    </dgm:style>
  </dgm:styleLbl>
  <dgm:styleLbl name="parChTrans2D2">
    <dgm:scene3d>
      <a:camera prst="orthographicFront"/>
      <a:lightRig rig="threePt" dir="t">
        <a:rot lat="0" lon="0" rev="7500000"/>
      </a:lightRig>
    </dgm:scene3d>
    <dgm:sp3d extrusionH="63500" prstMaterial="matte">
      <a:bevelT w="50800" h="19050" prst="relaxedInset"/>
      <a:contourClr>
        <a:schemeClr val="bg1"/>
      </a:contourClr>
    </dgm:sp3d>
    <dgm:txPr/>
    <dgm:style>
      <a:lnRef idx="0">
        <a:scrgbClr r="0" g="0" b="0"/>
      </a:lnRef>
      <a:fillRef idx="1">
        <a:scrgbClr r="0" g="0" b="0"/>
      </a:fillRef>
      <a:effectRef idx="0">
        <a:scrgbClr r="0" g="0" b="0"/>
      </a:effectRef>
      <a:fontRef idx="minor">
        <a:schemeClr val="lt1"/>
      </a:fontRef>
    </dgm:style>
  </dgm:styleLbl>
  <dgm:styleLbl name="parChTrans2D3">
    <dgm:scene3d>
      <a:camera prst="orthographicFront"/>
      <a:lightRig rig="threePt" dir="t">
        <a:rot lat="0" lon="0" rev="7500000"/>
      </a:lightRig>
    </dgm:scene3d>
    <dgm:sp3d z="60000" prstMaterial="flat">
      <a:bevelT w="120900" h="88900"/>
    </dgm:sp3d>
    <dgm:txPr/>
    <dgm:style>
      <a:lnRef idx="0">
        <a:scrgbClr r="0" g="0" b="0"/>
      </a:lnRef>
      <a:fillRef idx="3">
        <a:scrgbClr r="0" g="0" b="0"/>
      </a:fillRef>
      <a:effectRef idx="1">
        <a:scrgbClr r="0" g="0" b="0"/>
      </a:effectRef>
      <a:fontRef idx="minor">
        <a:schemeClr val="lt1"/>
      </a:fontRef>
    </dgm:style>
  </dgm:styleLbl>
  <dgm:styleLbl name="parChTrans2D4">
    <dgm:scene3d>
      <a:camera prst="orthographicFront"/>
      <a:lightRig rig="threePt" dir="t">
        <a:rot lat="0" lon="0" rev="7500000"/>
      </a:lightRig>
    </dgm:scene3d>
    <dgm:sp3d z="60000" prstMaterial="flat">
      <a:bevelT w="120900" h="88900"/>
    </dgm:sp3d>
    <dgm:txPr/>
    <dgm:style>
      <a:lnRef idx="0">
        <a:scrgbClr r="0" g="0" b="0"/>
      </a:lnRef>
      <a:fillRef idx="3">
        <a:scrgbClr r="0" g="0" b="0"/>
      </a:fillRef>
      <a:effectRef idx="1">
        <a:scrgbClr r="0" g="0" b="0"/>
      </a:effectRef>
      <a:fontRef idx="minor">
        <a:schemeClr val="lt1"/>
      </a:fontRef>
    </dgm:style>
  </dgm:styleLbl>
  <dgm:styleLbl name="parChTrans1D1">
    <dgm:scene3d>
      <a:camera prst="orthographicFront"/>
      <a:lightRig rig="threePt" dir="t">
        <a:rot lat="0" lon="0" rev="7500000"/>
      </a:lightRig>
    </dgm:scene3d>
    <dgm:sp3d z="-40000" prstMaterial="matte"/>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a:rot lat="0" lon="0" rev="7500000"/>
      </a:lightRig>
    </dgm:scene3d>
    <dgm:sp3d z="-40000" prstMaterial="matte"/>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a:rot lat="0" lon="0" rev="7500000"/>
      </a:lightRig>
    </dgm:scene3d>
    <dgm:sp3d z="-40000" prstMaterial="matte"/>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a:rot lat="0" lon="0" rev="7500000"/>
      </a:lightRig>
    </dgm:scene3d>
    <dgm:sp3d z="-40000" prstMaterial="matte"/>
    <dgm:txPr/>
    <dgm:style>
      <a:lnRef idx="2">
        <a:scrgbClr r="0" g="0" b="0"/>
      </a:lnRef>
      <a:fillRef idx="0">
        <a:scrgbClr r="0" g="0" b="0"/>
      </a:fillRef>
      <a:effectRef idx="0">
        <a:scrgbClr r="0" g="0" b="0"/>
      </a:effectRef>
      <a:fontRef idx="minor"/>
    </dgm:style>
  </dgm:styleLbl>
  <dgm:styleLbl name="fgAcc1">
    <dgm:scene3d>
      <a:camera prst="orthographicFront"/>
      <a:lightRig rig="threePt" dir="t">
        <a:rot lat="0" lon="0" rev="7500000"/>
      </a:lightRig>
    </dgm:scene3d>
    <dgm:sp3d z="152400" extrusionH="63500" prstMaterial="dkEdge">
      <a:bevelT w="135400" h="16350" prst="relaxedInset"/>
      <a:contourClr>
        <a:schemeClr val="bg1"/>
      </a:contourClr>
    </dgm:sp3d>
    <dgm:txPr/>
    <dgm:style>
      <a:lnRef idx="1">
        <a:scrgbClr r="0" g="0" b="0"/>
      </a:lnRef>
      <a:fillRef idx="1">
        <a:scrgbClr r="0" g="0" b="0"/>
      </a:fillRef>
      <a:effectRef idx="2">
        <a:scrgbClr r="0" g="0" b="0"/>
      </a:effectRef>
      <a:fontRef idx="minor"/>
    </dgm:style>
  </dgm:styleLbl>
  <dgm:styleLbl name="conFgAcc1">
    <dgm:scene3d>
      <a:camera prst="orthographicFront"/>
      <a:lightRig rig="threePt" dir="t">
        <a:rot lat="0" lon="0" rev="7500000"/>
      </a:lightRig>
    </dgm:scene3d>
    <dgm:sp3d z="152400" extrusionH="63500" prstMaterial="dkEdge">
      <a:bevelT w="135400" h="16350" prst="relaxedInset"/>
      <a:contourClr>
        <a:schemeClr val="bg1"/>
      </a:contourClr>
    </dgm:sp3d>
    <dgm:txPr/>
    <dgm:style>
      <a:lnRef idx="1">
        <a:scrgbClr r="0" g="0" b="0"/>
      </a:lnRef>
      <a:fillRef idx="1">
        <a:scrgbClr r="0" g="0" b="0"/>
      </a:fillRef>
      <a:effectRef idx="2">
        <a:scrgbClr r="0" g="0" b="0"/>
      </a:effectRef>
      <a:fontRef idx="minor"/>
    </dgm:style>
  </dgm:styleLbl>
  <dgm:styleLbl name="alignAcc1">
    <dgm:scene3d>
      <a:camera prst="orthographicFront"/>
      <a:lightRig rig="threePt" dir="t">
        <a:rot lat="0" lon="0" rev="7500000"/>
      </a:lightRig>
    </dgm:scene3d>
    <dgm:sp3d extrusionH="190500" prstMaterial="dkEdge">
      <a:bevelT w="135400" h="16350" prst="relaxedInset"/>
      <a:contourClr>
        <a:schemeClr val="bg1"/>
      </a:contourClr>
    </dgm:sp3d>
    <dgm:txPr/>
    <dgm:style>
      <a:lnRef idx="1">
        <a:scrgbClr r="0" g="0" b="0"/>
      </a:lnRef>
      <a:fillRef idx="1">
        <a:scrgbClr r="0" g="0" b="0"/>
      </a:fillRef>
      <a:effectRef idx="2">
        <a:scrgbClr r="0" g="0" b="0"/>
      </a:effectRef>
      <a:fontRef idx="minor"/>
    </dgm:style>
  </dgm:styleLbl>
  <dgm:styleLbl name="trAlignAcc1">
    <dgm:scene3d>
      <a:camera prst="orthographicFront"/>
      <a:lightRig rig="threePt" dir="t">
        <a:rot lat="0" lon="0" rev="7500000"/>
      </a:lightRig>
    </dgm:scene3d>
    <dgm:sp3d prstMaterial="plastic">
      <a:bevelT w="127000" h="35400"/>
    </dgm:sp3d>
    <dgm:txPr/>
    <dgm:style>
      <a:lnRef idx="1">
        <a:scrgbClr r="0" g="0" b="0"/>
      </a:lnRef>
      <a:fillRef idx="1">
        <a:scrgbClr r="0" g="0" b="0"/>
      </a:fillRef>
      <a:effectRef idx="2">
        <a:scrgbClr r="0" g="0" b="0"/>
      </a:effectRef>
      <a:fontRef idx="minor">
        <a:schemeClr val="lt1"/>
      </a:fontRef>
    </dgm:style>
  </dgm:styleLbl>
  <dgm:styleLbl name="bgAcc1">
    <dgm:scene3d>
      <a:camera prst="orthographicFront"/>
      <a:lightRig rig="threePt" dir="t">
        <a:rot lat="0" lon="0" rev="7500000"/>
      </a:lightRig>
    </dgm:scene3d>
    <dgm:sp3d z="-152400" extrusionH="63500" prstMaterial="dkEdge">
      <a:bevelT w="124450" h="16350" prst="relaxedInset"/>
      <a:contourClr>
        <a:schemeClr val="bg1"/>
      </a:contourClr>
    </dgm:sp3d>
    <dgm:txPr/>
    <dgm:style>
      <a:lnRef idx="1">
        <a:scrgbClr r="0" g="0" b="0"/>
      </a:lnRef>
      <a:fillRef idx="1">
        <a:scrgbClr r="0" g="0" b="0"/>
      </a:fillRef>
      <a:effectRef idx="0">
        <a:scrgbClr r="0" g="0" b="0"/>
      </a:effectRef>
      <a:fontRef idx="minor"/>
    </dgm:style>
  </dgm:styleLbl>
  <dgm:styleLbl name="solidFgAcc1">
    <dgm:scene3d>
      <a:camera prst="orthographicFront"/>
      <a:lightRig rig="threePt" dir="t">
        <a:rot lat="0" lon="0" rev="7500000"/>
      </a:lightRig>
    </dgm:scene3d>
    <dgm:sp3d z="152400" extrusionH="63500" prstMaterial="dkEdge">
      <a:bevelT w="120800" h="19050" prst="relaxedInset"/>
      <a:contourClr>
        <a:schemeClr val="bg1"/>
      </a:contourClr>
    </dgm:sp3d>
    <dgm:txPr/>
    <dgm:style>
      <a:lnRef idx="1">
        <a:scrgbClr r="0" g="0" b="0"/>
      </a:lnRef>
      <a:fillRef idx="1">
        <a:scrgbClr r="0" g="0" b="0"/>
      </a:fillRef>
      <a:effectRef idx="2">
        <a:scrgbClr r="0" g="0" b="0"/>
      </a:effectRef>
      <a:fontRef idx="minor"/>
    </dgm:style>
  </dgm:styleLbl>
  <dgm:styleLbl name="solidAlignAcc1">
    <dgm:scene3d>
      <a:camera prst="orthographicFront"/>
      <a:lightRig rig="threePt" dir="t">
        <a:rot lat="0" lon="0" rev="7500000"/>
      </a:lightRig>
    </dgm:scene3d>
    <dgm:sp3d extrusionH="190500" prstMaterial="dkEdge">
      <a:bevelT w="120650" h="38100" prst="relaxedInset"/>
      <a:contourClr>
        <a:schemeClr val="bg1"/>
      </a:contourClr>
    </dgm:sp3d>
    <dgm:txPr/>
    <dgm:style>
      <a:lnRef idx="1">
        <a:scrgbClr r="0" g="0" b="0"/>
      </a:lnRef>
      <a:fillRef idx="1">
        <a:scrgbClr r="0" g="0" b="0"/>
      </a:fillRef>
      <a:effectRef idx="2">
        <a:scrgbClr r="0" g="0" b="0"/>
      </a:effectRef>
      <a:fontRef idx="minor"/>
    </dgm:style>
  </dgm:styleLbl>
  <dgm:styleLbl name="solidBgAcc1">
    <dgm:scene3d>
      <a:camera prst="orthographicFront"/>
      <a:lightRig rig="threePt" dir="t">
        <a:rot lat="0" lon="0" rev="7500000"/>
      </a:lightRig>
    </dgm:scene3d>
    <dgm:sp3d z="-152400" extrusionH="63500" prstMaterial="dkEdge">
      <a:bevelT w="144450" h="36350" prst="relaxedInset"/>
      <a:contourClr>
        <a:schemeClr val="bg1"/>
      </a:contourClr>
    </dgm:sp3d>
    <dgm:txPr/>
    <dgm:style>
      <a:lnRef idx="1">
        <a:scrgbClr r="0" g="0" b="0"/>
      </a:lnRef>
      <a:fillRef idx="1">
        <a:scrgbClr r="0" g="0" b="0"/>
      </a:fillRef>
      <a:effectRef idx="0">
        <a:scrgbClr r="0" g="0" b="0"/>
      </a:effectRef>
      <a:fontRef idx="minor"/>
    </dgm:style>
  </dgm:styleLbl>
  <dgm:styleLbl name="fgAccFollowNode1">
    <dgm:scene3d>
      <a:camera prst="orthographicFront"/>
      <a:lightRig rig="threePt" dir="t">
        <a:rot lat="0" lon="0" rev="7500000"/>
      </a:lightRig>
    </dgm:scene3d>
    <dgm:sp3d z="152400" extrusionH="63500" prstMaterial="dkEdge">
      <a:bevelT w="125400" h="36350" prst="relaxedInset"/>
      <a:contourClr>
        <a:schemeClr val="bg1"/>
      </a:contourClr>
    </dgm:sp3d>
    <dgm:txPr/>
    <dgm:style>
      <a:lnRef idx="1">
        <a:scrgbClr r="0" g="0" b="0"/>
      </a:lnRef>
      <a:fillRef idx="1">
        <a:scrgbClr r="0" g="0" b="0"/>
      </a:fillRef>
      <a:effectRef idx="0">
        <a:scrgbClr r="0" g="0" b="0"/>
      </a:effectRef>
      <a:fontRef idx="minor"/>
    </dgm:style>
  </dgm:styleLbl>
  <dgm:styleLbl name="alignAccFollowNode1">
    <dgm:scene3d>
      <a:camera prst="orthographicFront"/>
      <a:lightRig rig="threePt" dir="t">
        <a:rot lat="0" lon="0" rev="7500000"/>
      </a:lightRig>
    </dgm:scene3d>
    <dgm:sp3d extrusionH="190500" prstMaterial="dkEdge">
      <a:bevelT w="120650" h="38100" prst="relaxedInset"/>
      <a:bevelB w="120650" h="57150" prst="relaxedInset"/>
      <a:contourClr>
        <a:schemeClr val="bg1"/>
      </a:contourClr>
    </dgm:sp3d>
    <dgm:txPr/>
    <dgm:style>
      <a:lnRef idx="1">
        <a:scrgbClr r="0" g="0" b="0"/>
      </a:lnRef>
      <a:fillRef idx="1">
        <a:scrgbClr r="0" g="0" b="0"/>
      </a:fillRef>
      <a:effectRef idx="2">
        <a:scrgbClr r="0" g="0" b="0"/>
      </a:effectRef>
      <a:fontRef idx="minor"/>
    </dgm:style>
  </dgm:styleLbl>
  <dgm:styleLbl name="bgAccFollowNode1">
    <dgm:scene3d>
      <a:camera prst="orthographicFront"/>
      <a:lightRig rig="threePt" dir="t">
        <a:rot lat="0" lon="0" rev="7500000"/>
      </a:lightRig>
    </dgm:scene3d>
    <dgm:sp3d z="-152400" extrusionH="63500" prstMaterial="dkEdge">
      <a:bevelT w="144450" h="36350" prst="relaxedInset"/>
      <a:contourClr>
        <a:schemeClr val="bg1"/>
      </a:contourClr>
    </dgm:sp3d>
    <dgm:txPr/>
    <dgm:style>
      <a:lnRef idx="1">
        <a:scrgbClr r="0" g="0" b="0"/>
      </a:lnRef>
      <a:fillRef idx="1">
        <a:scrgbClr r="0" g="0" b="0"/>
      </a:fillRef>
      <a:effectRef idx="2">
        <a:scrgbClr r="0" g="0" b="0"/>
      </a:effectRef>
      <a:fontRef idx="minor"/>
    </dgm:style>
  </dgm:styleLbl>
  <dgm:styleLbl name="fgAcc0">
    <dgm:scene3d>
      <a:camera prst="orthographicFront"/>
      <a:lightRig rig="threePt" dir="t">
        <a:rot lat="0" lon="0" rev="7500000"/>
      </a:lightRig>
    </dgm:scene3d>
    <dgm:sp3d z="152400" extrusionH="63500" prstMaterial="dkEdge">
      <a:bevelT w="125400" h="36350" prst="relaxedInset"/>
      <a:contourClr>
        <a:schemeClr val="bg1"/>
      </a:contourClr>
    </dgm:sp3d>
    <dgm:txPr/>
    <dgm:style>
      <a:lnRef idx="1">
        <a:scrgbClr r="0" g="0" b="0"/>
      </a:lnRef>
      <a:fillRef idx="1">
        <a:scrgbClr r="0" g="0" b="0"/>
      </a:fillRef>
      <a:effectRef idx="2">
        <a:scrgbClr r="0" g="0" b="0"/>
      </a:effectRef>
      <a:fontRef idx="minor"/>
    </dgm:style>
  </dgm:styleLbl>
  <dgm:styleLbl name="fgAcc2">
    <dgm:scene3d>
      <a:camera prst="orthographicFront"/>
      <a:lightRig rig="threePt" dir="t">
        <a:rot lat="0" lon="0" rev="7500000"/>
      </a:lightRig>
    </dgm:scene3d>
    <dgm:sp3d z="152400" extrusionH="63500" prstMaterial="dkEdge">
      <a:bevelT w="125400" h="36350" prst="relaxedInset"/>
      <a:contourClr>
        <a:schemeClr val="bg1"/>
      </a:contourClr>
    </dgm:sp3d>
    <dgm:txPr/>
    <dgm:style>
      <a:lnRef idx="1">
        <a:scrgbClr r="0" g="0" b="0"/>
      </a:lnRef>
      <a:fillRef idx="1">
        <a:scrgbClr r="0" g="0" b="0"/>
      </a:fillRef>
      <a:effectRef idx="2">
        <a:scrgbClr r="0" g="0" b="0"/>
      </a:effectRef>
      <a:fontRef idx="minor"/>
    </dgm:style>
  </dgm:styleLbl>
  <dgm:styleLbl name="fgAcc3">
    <dgm:scene3d>
      <a:camera prst="orthographicFront"/>
      <a:lightRig rig="threePt" dir="t">
        <a:rot lat="0" lon="0" rev="7500000"/>
      </a:lightRig>
    </dgm:scene3d>
    <dgm:sp3d z="152400" extrusionH="63500" prstMaterial="dkEdge">
      <a:bevelT w="125400" h="36350" prst="relaxedInset"/>
      <a:contourClr>
        <a:schemeClr val="bg1"/>
      </a:contourClr>
    </dgm:sp3d>
    <dgm:txPr/>
    <dgm:style>
      <a:lnRef idx="1">
        <a:scrgbClr r="0" g="0" b="0"/>
      </a:lnRef>
      <a:fillRef idx="1">
        <a:scrgbClr r="0" g="0" b="0"/>
      </a:fillRef>
      <a:effectRef idx="2">
        <a:scrgbClr r="0" g="0" b="0"/>
      </a:effectRef>
      <a:fontRef idx="minor"/>
    </dgm:style>
  </dgm:styleLbl>
  <dgm:styleLbl name="fgAcc4">
    <dgm:scene3d>
      <a:camera prst="orthographicFront"/>
      <a:lightRig rig="threePt" dir="t">
        <a:rot lat="0" lon="0" rev="7500000"/>
      </a:lightRig>
    </dgm:scene3d>
    <dgm:sp3d z="152400" extrusionH="63500" prstMaterial="dkEdge">
      <a:bevelT w="125400" h="36350" prst="relaxedInset"/>
      <a:contourClr>
        <a:schemeClr val="bg1"/>
      </a:contourClr>
    </dgm:sp3d>
    <dgm:txPr/>
    <dgm:style>
      <a:lnRef idx="1">
        <a:scrgbClr r="0" g="0" b="0"/>
      </a:lnRef>
      <a:fillRef idx="1">
        <a:scrgbClr r="0" g="0" b="0"/>
      </a:fillRef>
      <a:effectRef idx="2">
        <a:scrgbClr r="0" g="0" b="0"/>
      </a:effectRef>
      <a:fontRef idx="minor"/>
    </dgm:style>
  </dgm:styleLbl>
  <dgm:styleLbl name="bgShp">
    <dgm:scene3d>
      <a:camera prst="orthographicFront"/>
      <a:lightRig rig="threePt" dir="t">
        <a:rot lat="0" lon="0" rev="7500000"/>
      </a:lightRig>
    </dgm:scene3d>
    <dgm:sp3d z="-152400" extrusionH="63500" prstMaterial="matte">
      <a:bevelT w="144450" h="6350" prst="relaxedInset"/>
      <a:contourClr>
        <a:schemeClr val="bg1"/>
      </a:contourClr>
    </dgm:sp3d>
    <dgm:txPr/>
    <dgm:style>
      <a:lnRef idx="0">
        <a:scrgbClr r="0" g="0" b="0"/>
      </a:lnRef>
      <a:fillRef idx="3">
        <a:scrgbClr r="0" g="0" b="0"/>
      </a:fillRef>
      <a:effectRef idx="0">
        <a:scrgbClr r="0" g="0" b="0"/>
      </a:effectRef>
      <a:fontRef idx="minor"/>
    </dgm:style>
  </dgm:styleLbl>
  <dgm:styleLbl name="dkBgShp">
    <dgm:scene3d>
      <a:camera prst="orthographicFront"/>
      <a:lightRig rig="threePt" dir="t">
        <a:rot lat="0" lon="0" rev="7500000"/>
      </a:lightRig>
    </dgm:scene3d>
    <dgm:sp3d prstMaterial="plastic">
      <a:bevelT w="127000" h="25400" prst="relaxedInset"/>
      <a:bevelB w="88900" h="121750" prst="angle"/>
    </dgm:sp3d>
    <dgm:txPr/>
    <dgm:style>
      <a:lnRef idx="0">
        <a:scrgbClr r="0" g="0" b="0"/>
      </a:lnRef>
      <a:fillRef idx="1">
        <a:scrgbClr r="0" g="0" b="0"/>
      </a:fillRef>
      <a:effectRef idx="2">
        <a:scrgbClr r="0" g="0" b="0"/>
      </a:effectRef>
      <a:fontRef idx="minor">
        <a:schemeClr val="lt1"/>
      </a:fontRef>
    </dgm:style>
  </dgm:styleLbl>
  <dgm:styleLbl name="trBgShp">
    <dgm:scene3d>
      <a:camera prst="orthographicFront"/>
      <a:lightRig rig="threePt" dir="t"/>
    </dgm:scene3d>
    <dgm:sp3d z="-152400" prstMaterial="matte"/>
    <dgm:txPr/>
    <dgm:style>
      <a:lnRef idx="0">
        <a:scrgbClr r="0" g="0" b="0"/>
      </a:lnRef>
      <a:fillRef idx="1">
        <a:scrgbClr r="0" g="0" b="0"/>
      </a:fillRef>
      <a:effectRef idx="0">
        <a:scrgbClr r="0" g="0" b="0"/>
      </a:effectRef>
      <a:fontRef idx="minor"/>
    </dgm:style>
  </dgm:styleLbl>
  <dgm:styleLbl name="fgShp">
    <dgm:scene3d>
      <a:camera prst="orthographicFront"/>
      <a:lightRig rig="threePt" dir="t">
        <a:rot lat="0" lon="0" rev="7500000"/>
      </a:lightRig>
    </dgm:scene3d>
    <dgm:sp3d z="152400" extrusionH="63500" prstMaterial="matte">
      <a:bevelT w="50800" h="19050" prst="relaxedInset"/>
      <a:contourClr>
        <a:schemeClr val="bg1"/>
      </a:contourClr>
    </dgm:sp3d>
    <dgm:txPr/>
    <dgm:style>
      <a:lnRef idx="0">
        <a:scrgbClr r="0" g="0" b="0"/>
      </a:lnRef>
      <a:fillRef idx="1">
        <a:scrgbClr r="0" g="0" b="0"/>
      </a:fillRef>
      <a:effectRef idx="2">
        <a:scrgbClr r="0" g="0" b="0"/>
      </a:effectRef>
      <a:fontRef idx="minor">
        <a:schemeClr val="lt1"/>
      </a:fontRef>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3.xml><?xml version="1.0" encoding="utf-8"?>
<dgm:styleDef xmlns:dgm="http://schemas.openxmlformats.org/drawingml/2006/diagram" xmlns:a="http://schemas.openxmlformats.org/drawingml/2006/main" uniqueId="urn:microsoft.com/office/officeart/2005/8/quickstyle/3d2">
  <dgm:title val=""/>
  <dgm:desc val=""/>
  <dgm:catLst>
    <dgm:cat type="3D" pri="11200"/>
  </dgm:catLst>
  <dgm:scene3d>
    <a:camera prst="orthographicFront"/>
    <a:lightRig rig="threePt" dir="t"/>
  </dgm:scene3d>
  <dgm:styleLbl name="node0">
    <dgm:scene3d>
      <a:camera prst="orthographicFront"/>
      <a:lightRig rig="threePt" dir="t">
        <a:rot lat="0" lon="0" rev="7500000"/>
      </a:lightRig>
    </dgm:scene3d>
    <dgm:sp3d prstMaterial="plastic">
      <a:bevelT w="127000" h="25400" prst="relaxedInset"/>
    </dgm:sp3d>
    <dgm:txPr/>
    <dgm:style>
      <a:lnRef idx="0">
        <a:scrgbClr r="0" g="0" b="0"/>
      </a:lnRef>
      <a:fillRef idx="3">
        <a:scrgbClr r="0" g="0" b="0"/>
      </a:fillRef>
      <a:effectRef idx="2">
        <a:scrgbClr r="0" g="0" b="0"/>
      </a:effectRef>
      <a:fontRef idx="minor">
        <a:schemeClr val="lt1"/>
      </a:fontRef>
    </dgm:style>
  </dgm:styleLbl>
  <dgm:styleLbl name="lnNode1">
    <dgm:scene3d>
      <a:camera prst="orthographicFront"/>
      <a:lightRig rig="threePt" dir="t">
        <a:rot lat="0" lon="0" rev="7500000"/>
      </a:lightRig>
    </dgm:scene3d>
    <dgm:sp3d prstMaterial="plastic">
      <a:bevelT w="127000" h="25400" prst="relaxedInset"/>
    </dgm:sp3d>
    <dgm:txPr/>
    <dgm:style>
      <a:lnRef idx="1">
        <a:scrgbClr r="0" g="0" b="0"/>
      </a:lnRef>
      <a:fillRef idx="3">
        <a:scrgbClr r="0" g="0" b="0"/>
      </a:fillRef>
      <a:effectRef idx="2">
        <a:scrgbClr r="0" g="0" b="0"/>
      </a:effectRef>
      <a:fontRef idx="minor">
        <a:schemeClr val="lt1"/>
      </a:fontRef>
    </dgm:style>
  </dgm:styleLbl>
  <dgm:styleLbl name="vennNode1">
    <dgm:scene3d>
      <a:camera prst="orthographicFront"/>
      <a:lightRig rig="threePt" dir="t">
        <a:rot lat="0" lon="0" rev="7500000"/>
      </a:lightRig>
    </dgm:scene3d>
    <dgm:sp3d prstMaterial="plastic">
      <a:bevelT w="127000" h="25400" prst="relaxedInset"/>
    </dgm:sp3d>
    <dgm:txPr/>
    <dgm:style>
      <a:lnRef idx="0">
        <a:scrgbClr r="0" g="0" b="0"/>
      </a:lnRef>
      <a:fillRef idx="3">
        <a:scrgbClr r="0" g="0" b="0"/>
      </a:fillRef>
      <a:effectRef idx="2">
        <a:scrgbClr r="0" g="0" b="0"/>
      </a:effectRef>
      <a:fontRef idx="minor">
        <a:schemeClr val="tx1"/>
      </a:fontRef>
    </dgm:style>
  </dgm:styleLbl>
  <dgm:styleLbl name="alingNode1">
    <dgm:scene3d>
      <a:camera prst="orthographicFront"/>
      <a:lightRig rig="threePt" dir="t">
        <a:rot lat="0" lon="0" rev="7500000"/>
      </a:lightRig>
    </dgm:scene3d>
    <dgm:sp3d prstMaterial="plastic">
      <a:bevelT w="127000" h="25400" prst="relaxedInset"/>
    </dgm:sp3d>
    <dgm:txPr/>
    <dgm:style>
      <a:lnRef idx="0">
        <a:scrgbClr r="0" g="0" b="0"/>
      </a:lnRef>
      <a:fillRef idx="3">
        <a:scrgbClr r="0" g="0" b="0"/>
      </a:fillRef>
      <a:effectRef idx="2">
        <a:scrgbClr r="0" g="0" b="0"/>
      </a:effectRef>
      <a:fontRef idx="minor">
        <a:schemeClr val="lt1"/>
      </a:fontRef>
    </dgm:style>
  </dgm:styleLbl>
  <dgm:styleLbl name="node1">
    <dgm:scene3d>
      <a:camera prst="orthographicFront"/>
      <a:lightRig rig="threePt" dir="t">
        <a:rot lat="0" lon="0" rev="7500000"/>
      </a:lightRig>
    </dgm:scene3d>
    <dgm:sp3d prstMaterial="plastic">
      <a:bevelT w="127000" h="25400" prst="relaxedInset"/>
    </dgm:sp3d>
    <dgm:txPr/>
    <dgm:style>
      <a:lnRef idx="0">
        <a:scrgbClr r="0" g="0" b="0"/>
      </a:lnRef>
      <a:fillRef idx="3">
        <a:scrgbClr r="0" g="0" b="0"/>
      </a:fillRef>
      <a:effectRef idx="2">
        <a:scrgbClr r="0" g="0" b="0"/>
      </a:effectRef>
      <a:fontRef idx="minor">
        <a:schemeClr val="lt1"/>
      </a:fontRef>
    </dgm:style>
  </dgm:styleLbl>
  <dgm:styleLbl name="node2">
    <dgm:scene3d>
      <a:camera prst="orthographicFront"/>
      <a:lightRig rig="threePt" dir="t">
        <a:rot lat="0" lon="0" rev="7500000"/>
      </a:lightRig>
    </dgm:scene3d>
    <dgm:sp3d prstMaterial="plastic">
      <a:bevelT w="127000" h="25400" prst="relaxedInset"/>
    </dgm:sp3d>
    <dgm:txPr/>
    <dgm:style>
      <a:lnRef idx="0">
        <a:scrgbClr r="0" g="0" b="0"/>
      </a:lnRef>
      <a:fillRef idx="3">
        <a:scrgbClr r="0" g="0" b="0"/>
      </a:fillRef>
      <a:effectRef idx="2">
        <a:scrgbClr r="0" g="0" b="0"/>
      </a:effectRef>
      <a:fontRef idx="minor">
        <a:schemeClr val="lt1"/>
      </a:fontRef>
    </dgm:style>
  </dgm:styleLbl>
  <dgm:styleLbl name="node3">
    <dgm:scene3d>
      <a:camera prst="orthographicFront"/>
      <a:lightRig rig="threePt" dir="t">
        <a:rot lat="0" lon="0" rev="7500000"/>
      </a:lightRig>
    </dgm:scene3d>
    <dgm:sp3d prstMaterial="plastic">
      <a:bevelT w="127000" h="25400" prst="relaxedInset"/>
    </dgm:sp3d>
    <dgm:txPr/>
    <dgm:style>
      <a:lnRef idx="0">
        <a:scrgbClr r="0" g="0" b="0"/>
      </a:lnRef>
      <a:fillRef idx="3">
        <a:scrgbClr r="0" g="0" b="0"/>
      </a:fillRef>
      <a:effectRef idx="2">
        <a:scrgbClr r="0" g="0" b="0"/>
      </a:effectRef>
      <a:fontRef idx="minor">
        <a:schemeClr val="lt1"/>
      </a:fontRef>
    </dgm:style>
  </dgm:styleLbl>
  <dgm:styleLbl name="node4">
    <dgm:scene3d>
      <a:camera prst="orthographicFront"/>
      <a:lightRig rig="threePt" dir="t">
        <a:rot lat="0" lon="0" rev="7500000"/>
      </a:lightRig>
    </dgm:scene3d>
    <dgm:sp3d prstMaterial="plastic">
      <a:bevelT w="127000" h="25400" prst="relaxedInset"/>
    </dgm:sp3d>
    <dgm:txPr/>
    <dgm:style>
      <a:lnRef idx="0">
        <a:scrgbClr r="0" g="0" b="0"/>
      </a:lnRef>
      <a:fillRef idx="3">
        <a:scrgbClr r="0" g="0" b="0"/>
      </a:fillRef>
      <a:effectRef idx="2">
        <a:scrgbClr r="0" g="0" b="0"/>
      </a:effectRef>
      <a:fontRef idx="minor">
        <a:schemeClr val="lt1"/>
      </a:fontRef>
    </dgm:style>
  </dgm:styleLbl>
  <dgm:styleLbl name="fgImgPlace1">
    <dgm:scene3d>
      <a:camera prst="orthographicFront"/>
      <a:lightRig rig="threePt" dir="t">
        <a:rot lat="0" lon="0" rev="7500000"/>
      </a:lightRig>
    </dgm:scene3d>
    <dgm:sp3d z="152400" extrusionH="63500" prstMaterial="matte">
      <a:bevelT w="50800" h="19050" prst="relaxedInset"/>
      <a:contourClr>
        <a:schemeClr val="bg1"/>
      </a:contourClr>
    </dgm:sp3d>
    <dgm:txPr/>
    <dgm:style>
      <a:lnRef idx="0">
        <a:scrgbClr r="0" g="0" b="0"/>
      </a:lnRef>
      <a:fillRef idx="1">
        <a:scrgbClr r="0" g="0" b="0"/>
      </a:fillRef>
      <a:effectRef idx="0">
        <a:scrgbClr r="0" g="0" b="0"/>
      </a:effectRef>
      <a:fontRef idx="minor"/>
    </dgm:style>
  </dgm:styleLbl>
  <dgm:styleLbl name="alignImgPlace1">
    <dgm:scene3d>
      <a:camera prst="orthographicFront"/>
      <a:lightRig rig="threePt" dir="t">
        <a:rot lat="0" lon="0" rev="7500000"/>
      </a:lightRig>
    </dgm:scene3d>
    <dgm:sp3d z="254000" extrusionH="63500" contourW="12700" prstMaterial="matte">
      <a:contourClr>
        <a:schemeClr val="lt1"/>
      </a:contourClr>
    </dgm:sp3d>
    <dgm:txPr/>
    <dgm:style>
      <a:lnRef idx="0">
        <a:scrgbClr r="0" g="0" b="0"/>
      </a:lnRef>
      <a:fillRef idx="1">
        <a:scrgbClr r="0" g="0" b="0"/>
      </a:fillRef>
      <a:effectRef idx="0">
        <a:scrgbClr r="0" g="0" b="0"/>
      </a:effectRef>
      <a:fontRef idx="minor"/>
    </dgm:style>
  </dgm:styleLbl>
  <dgm:styleLbl name="bgImgPlace1">
    <dgm:scene3d>
      <a:camera prst="orthographicFront"/>
      <a:lightRig rig="threePt" dir="t">
        <a:rot lat="0" lon="0" rev="7500000"/>
      </a:lightRig>
    </dgm:scene3d>
    <dgm:sp3d z="-152400" extrusionH="63500" contourW="12700" prstMaterial="matte">
      <a:contourClr>
        <a:schemeClr val="lt1"/>
      </a:contourClr>
    </dgm:sp3d>
    <dgm:txPr/>
    <dgm:style>
      <a:lnRef idx="0">
        <a:scrgbClr r="0" g="0" b="0"/>
      </a:lnRef>
      <a:fillRef idx="1">
        <a:scrgbClr r="0" g="0" b="0"/>
      </a:fillRef>
      <a:effectRef idx="0">
        <a:scrgbClr r="0" g="0" b="0"/>
      </a:effectRef>
      <a:fontRef idx="minor"/>
    </dgm:style>
  </dgm:styleLbl>
  <dgm:styleLbl name="sibTrans2D1">
    <dgm:scene3d>
      <a:camera prst="orthographicFront"/>
      <a:lightRig rig="threePt" dir="t">
        <a:rot lat="0" lon="0" rev="7500000"/>
      </a:lightRig>
    </dgm:scene3d>
    <dgm:sp3d z="-70000" extrusionH="63500" prstMaterial="matte">
      <a:bevelT w="25400" h="6350" prst="relaxedInset"/>
      <a:contourClr>
        <a:schemeClr val="bg1"/>
      </a:contourClr>
    </dgm:sp3d>
    <dgm:txPr/>
    <dgm:style>
      <a:lnRef idx="0">
        <a:scrgbClr r="0" g="0" b="0"/>
      </a:lnRef>
      <a:fillRef idx="1">
        <a:scrgbClr r="0" g="0" b="0"/>
      </a:fillRef>
      <a:effectRef idx="2">
        <a:scrgbClr r="0" g="0" b="0"/>
      </a:effectRef>
      <a:fontRef idx="minor">
        <a:schemeClr val="lt1"/>
      </a:fontRef>
    </dgm:style>
  </dgm:styleLbl>
  <dgm:styleLbl name="fgSibTrans2D1">
    <dgm:scene3d>
      <a:camera prst="orthographicFront"/>
      <a:lightRig rig="threePt" dir="t">
        <a:rot lat="0" lon="0" rev="7500000"/>
      </a:lightRig>
    </dgm:scene3d>
    <dgm:sp3d z="152400" extrusionH="63500" prstMaterial="matte">
      <a:bevelT w="25400" h="6350" prst="relaxedInset"/>
      <a:contourClr>
        <a:schemeClr val="bg1"/>
      </a:contourClr>
    </dgm:sp3d>
    <dgm:txPr/>
    <dgm:style>
      <a:lnRef idx="0">
        <a:scrgbClr r="0" g="0" b="0"/>
      </a:lnRef>
      <a:fillRef idx="1">
        <a:scrgbClr r="0" g="0" b="0"/>
      </a:fillRef>
      <a:effectRef idx="2">
        <a:scrgbClr r="0" g="0" b="0"/>
      </a:effectRef>
      <a:fontRef idx="minor">
        <a:schemeClr val="lt1"/>
      </a:fontRef>
    </dgm:style>
  </dgm:styleLbl>
  <dgm:styleLbl name="bgSibTrans2D1">
    <dgm:scene3d>
      <a:camera prst="orthographicFront"/>
      <a:lightRig rig="threePt" dir="t">
        <a:rot lat="0" lon="0" rev="7500000"/>
      </a:lightRig>
    </dgm:scene3d>
    <dgm:sp3d z="-152400" extrusionH="63500" prstMaterial="matte">
      <a:bevelT w="25400" h="6350" prst="relaxedInset"/>
      <a:contourClr>
        <a:schemeClr val="bg1"/>
      </a:contourClr>
    </dgm:sp3d>
    <dgm:txPr/>
    <dgm:style>
      <a:lnRef idx="0">
        <a:scrgbClr r="0" g="0" b="0"/>
      </a:lnRef>
      <a:fillRef idx="1">
        <a:scrgbClr r="0" g="0" b="0"/>
      </a:fillRef>
      <a:effectRef idx="2">
        <a:scrgbClr r="0" g="0" b="0"/>
      </a:effectRef>
      <a:fontRef idx="minor">
        <a:schemeClr val="lt1"/>
      </a:fontRef>
    </dgm:style>
  </dgm:styleLbl>
  <dgm:styleLbl name="sibTrans1D1">
    <dgm:scene3d>
      <a:camera prst="orthographicFront"/>
      <a:lightRig rig="threePt" dir="t">
        <a:rot lat="0" lon="0" rev="7500000"/>
      </a:lightRig>
    </dgm:scene3d>
    <dgm:sp3d z="-40000" prstMaterial="matte"/>
    <dgm:txPr/>
    <dgm:style>
      <a:lnRef idx="1">
        <a:scrgbClr r="0" g="0" b="0"/>
      </a:lnRef>
      <a:fillRef idx="0">
        <a:scrgbClr r="0" g="0" b="0"/>
      </a:fillRef>
      <a:effectRef idx="0">
        <a:scrgbClr r="0" g="0" b="0"/>
      </a:effectRef>
      <a:fontRef idx="minor"/>
    </dgm:style>
  </dgm:styleLbl>
  <dgm:styleLbl name="callout">
    <dgm:scene3d>
      <a:camera prst="orthographicFront"/>
      <a:lightRig rig="threePt" dir="t">
        <a:rot lat="0" lon="0" rev="7500000"/>
      </a:lightRig>
    </dgm:scene3d>
    <dgm:sp3d z="127000" prstMaterial="matte"/>
    <dgm:txPr/>
    <dgm:style>
      <a:lnRef idx="2">
        <a:scrgbClr r="0" g="0" b="0"/>
      </a:lnRef>
      <a:fillRef idx="1">
        <a:scrgbClr r="0" g="0" b="0"/>
      </a:fillRef>
      <a:effectRef idx="0">
        <a:scrgbClr r="0" g="0" b="0"/>
      </a:effectRef>
      <a:fontRef idx="minor"/>
    </dgm:style>
  </dgm:styleLbl>
  <dgm:styleLbl name="asst0">
    <dgm:scene3d>
      <a:camera prst="orthographicFront"/>
      <a:lightRig rig="threePt" dir="t">
        <a:rot lat="0" lon="0" rev="7500000"/>
      </a:lightRig>
    </dgm:scene3d>
    <dgm:sp3d prstMaterial="plastic">
      <a:bevelT w="127000" h="25400" prst="relaxedInset"/>
    </dgm:sp3d>
    <dgm:txPr/>
    <dgm:style>
      <a:lnRef idx="0">
        <a:scrgbClr r="0" g="0" b="0"/>
      </a:lnRef>
      <a:fillRef idx="3">
        <a:scrgbClr r="0" g="0" b="0"/>
      </a:fillRef>
      <a:effectRef idx="2">
        <a:scrgbClr r="0" g="0" b="0"/>
      </a:effectRef>
      <a:fontRef idx="minor">
        <a:schemeClr val="lt1"/>
      </a:fontRef>
    </dgm:style>
  </dgm:styleLbl>
  <dgm:styleLbl name="asst1">
    <dgm:scene3d>
      <a:camera prst="orthographicFront"/>
      <a:lightRig rig="threePt" dir="t">
        <a:rot lat="0" lon="0" rev="7500000"/>
      </a:lightRig>
    </dgm:scene3d>
    <dgm:sp3d prstMaterial="plastic">
      <a:bevelT w="127000" h="25400" prst="relaxedInset"/>
    </dgm:sp3d>
    <dgm:txPr/>
    <dgm:style>
      <a:lnRef idx="0">
        <a:scrgbClr r="0" g="0" b="0"/>
      </a:lnRef>
      <a:fillRef idx="3">
        <a:scrgbClr r="0" g="0" b="0"/>
      </a:fillRef>
      <a:effectRef idx="2">
        <a:scrgbClr r="0" g="0" b="0"/>
      </a:effectRef>
      <a:fontRef idx="minor">
        <a:schemeClr val="lt1"/>
      </a:fontRef>
    </dgm:style>
  </dgm:styleLbl>
  <dgm:styleLbl name="asst2">
    <dgm:scene3d>
      <a:camera prst="orthographicFront"/>
      <a:lightRig rig="threePt" dir="t">
        <a:rot lat="0" lon="0" rev="7500000"/>
      </a:lightRig>
    </dgm:scene3d>
    <dgm:sp3d prstMaterial="plastic">
      <a:bevelT w="127000" h="25400" prst="relaxedInset"/>
    </dgm:sp3d>
    <dgm:txPr/>
    <dgm:style>
      <a:lnRef idx="0">
        <a:scrgbClr r="0" g="0" b="0"/>
      </a:lnRef>
      <a:fillRef idx="3">
        <a:scrgbClr r="0" g="0" b="0"/>
      </a:fillRef>
      <a:effectRef idx="2">
        <a:scrgbClr r="0" g="0" b="0"/>
      </a:effectRef>
      <a:fontRef idx="minor">
        <a:schemeClr val="lt1"/>
      </a:fontRef>
    </dgm:style>
  </dgm:styleLbl>
  <dgm:styleLbl name="asst3">
    <dgm:scene3d>
      <a:camera prst="orthographicFront"/>
      <a:lightRig rig="threePt" dir="t">
        <a:rot lat="0" lon="0" rev="7500000"/>
      </a:lightRig>
    </dgm:scene3d>
    <dgm:sp3d prstMaterial="plastic">
      <a:bevelT w="127000" h="25400" prst="relaxedInset"/>
    </dgm:sp3d>
    <dgm:txPr/>
    <dgm:style>
      <a:lnRef idx="0">
        <a:scrgbClr r="0" g="0" b="0"/>
      </a:lnRef>
      <a:fillRef idx="3">
        <a:scrgbClr r="0" g="0" b="0"/>
      </a:fillRef>
      <a:effectRef idx="2">
        <a:scrgbClr r="0" g="0" b="0"/>
      </a:effectRef>
      <a:fontRef idx="minor">
        <a:schemeClr val="lt1"/>
      </a:fontRef>
    </dgm:style>
  </dgm:styleLbl>
  <dgm:styleLbl name="parChTrans2D1">
    <dgm:scene3d>
      <a:camera prst="orthographicFront"/>
      <a:lightRig rig="threePt" dir="t">
        <a:rot lat="0" lon="0" rev="7500000"/>
      </a:lightRig>
    </dgm:scene3d>
    <dgm:sp3d extrusionH="63500" prstMaterial="matte">
      <a:bevelT w="50800" h="19050" prst="relaxedInset"/>
      <a:contourClr>
        <a:schemeClr val="bg1"/>
      </a:contourClr>
    </dgm:sp3d>
    <dgm:txPr/>
    <dgm:style>
      <a:lnRef idx="0">
        <a:scrgbClr r="0" g="0" b="0"/>
      </a:lnRef>
      <a:fillRef idx="1">
        <a:scrgbClr r="0" g="0" b="0"/>
      </a:fillRef>
      <a:effectRef idx="2">
        <a:scrgbClr r="0" g="0" b="0"/>
      </a:effectRef>
      <a:fontRef idx="minor">
        <a:schemeClr val="lt1"/>
      </a:fontRef>
    </dgm:style>
  </dgm:styleLbl>
  <dgm:styleLbl name="parChTrans2D2">
    <dgm:scene3d>
      <a:camera prst="orthographicFront"/>
      <a:lightRig rig="threePt" dir="t">
        <a:rot lat="0" lon="0" rev="7500000"/>
      </a:lightRig>
    </dgm:scene3d>
    <dgm:sp3d extrusionH="63500" prstMaterial="matte">
      <a:bevelT w="50800" h="19050" prst="relaxedInset"/>
      <a:contourClr>
        <a:schemeClr val="bg1"/>
      </a:contourClr>
    </dgm:sp3d>
    <dgm:txPr/>
    <dgm:style>
      <a:lnRef idx="0">
        <a:scrgbClr r="0" g="0" b="0"/>
      </a:lnRef>
      <a:fillRef idx="1">
        <a:scrgbClr r="0" g="0" b="0"/>
      </a:fillRef>
      <a:effectRef idx="0">
        <a:scrgbClr r="0" g="0" b="0"/>
      </a:effectRef>
      <a:fontRef idx="minor">
        <a:schemeClr val="lt1"/>
      </a:fontRef>
    </dgm:style>
  </dgm:styleLbl>
  <dgm:styleLbl name="parChTrans2D3">
    <dgm:scene3d>
      <a:camera prst="orthographicFront"/>
      <a:lightRig rig="threePt" dir="t">
        <a:rot lat="0" lon="0" rev="7500000"/>
      </a:lightRig>
    </dgm:scene3d>
    <dgm:sp3d z="60000" prstMaterial="flat">
      <a:bevelT w="120900" h="88900"/>
    </dgm:sp3d>
    <dgm:txPr/>
    <dgm:style>
      <a:lnRef idx="0">
        <a:scrgbClr r="0" g="0" b="0"/>
      </a:lnRef>
      <a:fillRef idx="3">
        <a:scrgbClr r="0" g="0" b="0"/>
      </a:fillRef>
      <a:effectRef idx="1">
        <a:scrgbClr r="0" g="0" b="0"/>
      </a:effectRef>
      <a:fontRef idx="minor">
        <a:schemeClr val="lt1"/>
      </a:fontRef>
    </dgm:style>
  </dgm:styleLbl>
  <dgm:styleLbl name="parChTrans2D4">
    <dgm:scene3d>
      <a:camera prst="orthographicFront"/>
      <a:lightRig rig="threePt" dir="t">
        <a:rot lat="0" lon="0" rev="7500000"/>
      </a:lightRig>
    </dgm:scene3d>
    <dgm:sp3d z="60000" prstMaterial="flat">
      <a:bevelT w="120900" h="88900"/>
    </dgm:sp3d>
    <dgm:txPr/>
    <dgm:style>
      <a:lnRef idx="0">
        <a:scrgbClr r="0" g="0" b="0"/>
      </a:lnRef>
      <a:fillRef idx="3">
        <a:scrgbClr r="0" g="0" b="0"/>
      </a:fillRef>
      <a:effectRef idx="1">
        <a:scrgbClr r="0" g="0" b="0"/>
      </a:effectRef>
      <a:fontRef idx="minor">
        <a:schemeClr val="lt1"/>
      </a:fontRef>
    </dgm:style>
  </dgm:styleLbl>
  <dgm:styleLbl name="parChTrans1D1">
    <dgm:scene3d>
      <a:camera prst="orthographicFront"/>
      <a:lightRig rig="threePt" dir="t">
        <a:rot lat="0" lon="0" rev="7500000"/>
      </a:lightRig>
    </dgm:scene3d>
    <dgm:sp3d z="-40000" prstMaterial="matte"/>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a:rot lat="0" lon="0" rev="7500000"/>
      </a:lightRig>
    </dgm:scene3d>
    <dgm:sp3d z="-40000" prstMaterial="matte"/>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a:rot lat="0" lon="0" rev="7500000"/>
      </a:lightRig>
    </dgm:scene3d>
    <dgm:sp3d z="-40000" prstMaterial="matte"/>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a:rot lat="0" lon="0" rev="7500000"/>
      </a:lightRig>
    </dgm:scene3d>
    <dgm:sp3d z="-40000" prstMaterial="matte"/>
    <dgm:txPr/>
    <dgm:style>
      <a:lnRef idx="2">
        <a:scrgbClr r="0" g="0" b="0"/>
      </a:lnRef>
      <a:fillRef idx="0">
        <a:scrgbClr r="0" g="0" b="0"/>
      </a:fillRef>
      <a:effectRef idx="0">
        <a:scrgbClr r="0" g="0" b="0"/>
      </a:effectRef>
      <a:fontRef idx="minor"/>
    </dgm:style>
  </dgm:styleLbl>
  <dgm:styleLbl name="fgAcc1">
    <dgm:scene3d>
      <a:camera prst="orthographicFront"/>
      <a:lightRig rig="threePt" dir="t">
        <a:rot lat="0" lon="0" rev="7500000"/>
      </a:lightRig>
    </dgm:scene3d>
    <dgm:sp3d z="152400" extrusionH="63500" prstMaterial="dkEdge">
      <a:bevelT w="135400" h="16350" prst="relaxedInset"/>
      <a:contourClr>
        <a:schemeClr val="bg1"/>
      </a:contourClr>
    </dgm:sp3d>
    <dgm:txPr/>
    <dgm:style>
      <a:lnRef idx="1">
        <a:scrgbClr r="0" g="0" b="0"/>
      </a:lnRef>
      <a:fillRef idx="1">
        <a:scrgbClr r="0" g="0" b="0"/>
      </a:fillRef>
      <a:effectRef idx="2">
        <a:scrgbClr r="0" g="0" b="0"/>
      </a:effectRef>
      <a:fontRef idx="minor"/>
    </dgm:style>
  </dgm:styleLbl>
  <dgm:styleLbl name="conFgAcc1">
    <dgm:scene3d>
      <a:camera prst="orthographicFront"/>
      <a:lightRig rig="threePt" dir="t">
        <a:rot lat="0" lon="0" rev="7500000"/>
      </a:lightRig>
    </dgm:scene3d>
    <dgm:sp3d z="152400" extrusionH="63500" prstMaterial="dkEdge">
      <a:bevelT w="135400" h="16350" prst="relaxedInset"/>
      <a:contourClr>
        <a:schemeClr val="bg1"/>
      </a:contourClr>
    </dgm:sp3d>
    <dgm:txPr/>
    <dgm:style>
      <a:lnRef idx="1">
        <a:scrgbClr r="0" g="0" b="0"/>
      </a:lnRef>
      <a:fillRef idx="1">
        <a:scrgbClr r="0" g="0" b="0"/>
      </a:fillRef>
      <a:effectRef idx="2">
        <a:scrgbClr r="0" g="0" b="0"/>
      </a:effectRef>
      <a:fontRef idx="minor"/>
    </dgm:style>
  </dgm:styleLbl>
  <dgm:styleLbl name="alignAcc1">
    <dgm:scene3d>
      <a:camera prst="orthographicFront"/>
      <a:lightRig rig="threePt" dir="t">
        <a:rot lat="0" lon="0" rev="7500000"/>
      </a:lightRig>
    </dgm:scene3d>
    <dgm:sp3d extrusionH="190500" prstMaterial="dkEdge">
      <a:bevelT w="135400" h="16350" prst="relaxedInset"/>
      <a:contourClr>
        <a:schemeClr val="bg1"/>
      </a:contourClr>
    </dgm:sp3d>
    <dgm:txPr/>
    <dgm:style>
      <a:lnRef idx="1">
        <a:scrgbClr r="0" g="0" b="0"/>
      </a:lnRef>
      <a:fillRef idx="1">
        <a:scrgbClr r="0" g="0" b="0"/>
      </a:fillRef>
      <a:effectRef idx="2">
        <a:scrgbClr r="0" g="0" b="0"/>
      </a:effectRef>
      <a:fontRef idx="minor"/>
    </dgm:style>
  </dgm:styleLbl>
  <dgm:styleLbl name="trAlignAcc1">
    <dgm:scene3d>
      <a:camera prst="orthographicFront"/>
      <a:lightRig rig="threePt" dir="t">
        <a:rot lat="0" lon="0" rev="7500000"/>
      </a:lightRig>
    </dgm:scene3d>
    <dgm:sp3d prstMaterial="plastic">
      <a:bevelT w="127000" h="35400"/>
    </dgm:sp3d>
    <dgm:txPr/>
    <dgm:style>
      <a:lnRef idx="1">
        <a:scrgbClr r="0" g="0" b="0"/>
      </a:lnRef>
      <a:fillRef idx="1">
        <a:scrgbClr r="0" g="0" b="0"/>
      </a:fillRef>
      <a:effectRef idx="2">
        <a:scrgbClr r="0" g="0" b="0"/>
      </a:effectRef>
      <a:fontRef idx="minor">
        <a:schemeClr val="lt1"/>
      </a:fontRef>
    </dgm:style>
  </dgm:styleLbl>
  <dgm:styleLbl name="bgAcc1">
    <dgm:scene3d>
      <a:camera prst="orthographicFront"/>
      <a:lightRig rig="threePt" dir="t">
        <a:rot lat="0" lon="0" rev="7500000"/>
      </a:lightRig>
    </dgm:scene3d>
    <dgm:sp3d z="-152400" extrusionH="63500" prstMaterial="dkEdge">
      <a:bevelT w="124450" h="16350" prst="relaxedInset"/>
      <a:contourClr>
        <a:schemeClr val="bg1"/>
      </a:contourClr>
    </dgm:sp3d>
    <dgm:txPr/>
    <dgm:style>
      <a:lnRef idx="1">
        <a:scrgbClr r="0" g="0" b="0"/>
      </a:lnRef>
      <a:fillRef idx="1">
        <a:scrgbClr r="0" g="0" b="0"/>
      </a:fillRef>
      <a:effectRef idx="0">
        <a:scrgbClr r="0" g="0" b="0"/>
      </a:effectRef>
      <a:fontRef idx="minor"/>
    </dgm:style>
  </dgm:styleLbl>
  <dgm:styleLbl name="solidFgAcc1">
    <dgm:scene3d>
      <a:camera prst="orthographicFront"/>
      <a:lightRig rig="threePt" dir="t">
        <a:rot lat="0" lon="0" rev="7500000"/>
      </a:lightRig>
    </dgm:scene3d>
    <dgm:sp3d z="152400" extrusionH="63500" prstMaterial="dkEdge">
      <a:bevelT w="120800" h="19050" prst="relaxedInset"/>
      <a:contourClr>
        <a:schemeClr val="bg1"/>
      </a:contourClr>
    </dgm:sp3d>
    <dgm:txPr/>
    <dgm:style>
      <a:lnRef idx="1">
        <a:scrgbClr r="0" g="0" b="0"/>
      </a:lnRef>
      <a:fillRef idx="1">
        <a:scrgbClr r="0" g="0" b="0"/>
      </a:fillRef>
      <a:effectRef idx="2">
        <a:scrgbClr r="0" g="0" b="0"/>
      </a:effectRef>
      <a:fontRef idx="minor"/>
    </dgm:style>
  </dgm:styleLbl>
  <dgm:styleLbl name="solidAlignAcc1">
    <dgm:scene3d>
      <a:camera prst="orthographicFront"/>
      <a:lightRig rig="threePt" dir="t">
        <a:rot lat="0" lon="0" rev="7500000"/>
      </a:lightRig>
    </dgm:scene3d>
    <dgm:sp3d extrusionH="190500" prstMaterial="dkEdge">
      <a:bevelT w="120650" h="38100" prst="relaxedInset"/>
      <a:contourClr>
        <a:schemeClr val="bg1"/>
      </a:contourClr>
    </dgm:sp3d>
    <dgm:txPr/>
    <dgm:style>
      <a:lnRef idx="1">
        <a:scrgbClr r="0" g="0" b="0"/>
      </a:lnRef>
      <a:fillRef idx="1">
        <a:scrgbClr r="0" g="0" b="0"/>
      </a:fillRef>
      <a:effectRef idx="2">
        <a:scrgbClr r="0" g="0" b="0"/>
      </a:effectRef>
      <a:fontRef idx="minor"/>
    </dgm:style>
  </dgm:styleLbl>
  <dgm:styleLbl name="solidBgAcc1">
    <dgm:scene3d>
      <a:camera prst="orthographicFront"/>
      <a:lightRig rig="threePt" dir="t">
        <a:rot lat="0" lon="0" rev="7500000"/>
      </a:lightRig>
    </dgm:scene3d>
    <dgm:sp3d z="-152400" extrusionH="63500" prstMaterial="dkEdge">
      <a:bevelT w="144450" h="36350" prst="relaxedInset"/>
      <a:contourClr>
        <a:schemeClr val="bg1"/>
      </a:contourClr>
    </dgm:sp3d>
    <dgm:txPr/>
    <dgm:style>
      <a:lnRef idx="1">
        <a:scrgbClr r="0" g="0" b="0"/>
      </a:lnRef>
      <a:fillRef idx="1">
        <a:scrgbClr r="0" g="0" b="0"/>
      </a:fillRef>
      <a:effectRef idx="0">
        <a:scrgbClr r="0" g="0" b="0"/>
      </a:effectRef>
      <a:fontRef idx="minor"/>
    </dgm:style>
  </dgm:styleLbl>
  <dgm:styleLbl name="fgAccFollowNode1">
    <dgm:scene3d>
      <a:camera prst="orthographicFront"/>
      <a:lightRig rig="threePt" dir="t">
        <a:rot lat="0" lon="0" rev="7500000"/>
      </a:lightRig>
    </dgm:scene3d>
    <dgm:sp3d z="152400" extrusionH="63500" prstMaterial="dkEdge">
      <a:bevelT w="125400" h="36350" prst="relaxedInset"/>
      <a:contourClr>
        <a:schemeClr val="bg1"/>
      </a:contourClr>
    </dgm:sp3d>
    <dgm:txPr/>
    <dgm:style>
      <a:lnRef idx="1">
        <a:scrgbClr r="0" g="0" b="0"/>
      </a:lnRef>
      <a:fillRef idx="1">
        <a:scrgbClr r="0" g="0" b="0"/>
      </a:fillRef>
      <a:effectRef idx="0">
        <a:scrgbClr r="0" g="0" b="0"/>
      </a:effectRef>
      <a:fontRef idx="minor"/>
    </dgm:style>
  </dgm:styleLbl>
  <dgm:styleLbl name="alignAccFollowNode1">
    <dgm:scene3d>
      <a:camera prst="orthographicFront"/>
      <a:lightRig rig="threePt" dir="t">
        <a:rot lat="0" lon="0" rev="7500000"/>
      </a:lightRig>
    </dgm:scene3d>
    <dgm:sp3d extrusionH="190500" prstMaterial="dkEdge">
      <a:bevelT w="120650" h="38100" prst="relaxedInset"/>
      <a:bevelB w="120650" h="57150" prst="relaxedInset"/>
      <a:contourClr>
        <a:schemeClr val="bg1"/>
      </a:contourClr>
    </dgm:sp3d>
    <dgm:txPr/>
    <dgm:style>
      <a:lnRef idx="1">
        <a:scrgbClr r="0" g="0" b="0"/>
      </a:lnRef>
      <a:fillRef idx="1">
        <a:scrgbClr r="0" g="0" b="0"/>
      </a:fillRef>
      <a:effectRef idx="2">
        <a:scrgbClr r="0" g="0" b="0"/>
      </a:effectRef>
      <a:fontRef idx="minor"/>
    </dgm:style>
  </dgm:styleLbl>
  <dgm:styleLbl name="bgAccFollowNode1">
    <dgm:scene3d>
      <a:camera prst="orthographicFront"/>
      <a:lightRig rig="threePt" dir="t">
        <a:rot lat="0" lon="0" rev="7500000"/>
      </a:lightRig>
    </dgm:scene3d>
    <dgm:sp3d z="-152400" extrusionH="63500" prstMaterial="dkEdge">
      <a:bevelT w="144450" h="36350" prst="relaxedInset"/>
      <a:contourClr>
        <a:schemeClr val="bg1"/>
      </a:contourClr>
    </dgm:sp3d>
    <dgm:txPr/>
    <dgm:style>
      <a:lnRef idx="1">
        <a:scrgbClr r="0" g="0" b="0"/>
      </a:lnRef>
      <a:fillRef idx="1">
        <a:scrgbClr r="0" g="0" b="0"/>
      </a:fillRef>
      <a:effectRef idx="2">
        <a:scrgbClr r="0" g="0" b="0"/>
      </a:effectRef>
      <a:fontRef idx="minor"/>
    </dgm:style>
  </dgm:styleLbl>
  <dgm:styleLbl name="fgAcc0">
    <dgm:scene3d>
      <a:camera prst="orthographicFront"/>
      <a:lightRig rig="threePt" dir="t">
        <a:rot lat="0" lon="0" rev="7500000"/>
      </a:lightRig>
    </dgm:scene3d>
    <dgm:sp3d z="152400" extrusionH="63500" prstMaterial="dkEdge">
      <a:bevelT w="125400" h="36350" prst="relaxedInset"/>
      <a:contourClr>
        <a:schemeClr val="bg1"/>
      </a:contourClr>
    </dgm:sp3d>
    <dgm:txPr/>
    <dgm:style>
      <a:lnRef idx="1">
        <a:scrgbClr r="0" g="0" b="0"/>
      </a:lnRef>
      <a:fillRef idx="1">
        <a:scrgbClr r="0" g="0" b="0"/>
      </a:fillRef>
      <a:effectRef idx="2">
        <a:scrgbClr r="0" g="0" b="0"/>
      </a:effectRef>
      <a:fontRef idx="minor"/>
    </dgm:style>
  </dgm:styleLbl>
  <dgm:styleLbl name="fgAcc2">
    <dgm:scene3d>
      <a:camera prst="orthographicFront"/>
      <a:lightRig rig="threePt" dir="t">
        <a:rot lat="0" lon="0" rev="7500000"/>
      </a:lightRig>
    </dgm:scene3d>
    <dgm:sp3d z="152400" extrusionH="63500" prstMaterial="dkEdge">
      <a:bevelT w="125400" h="36350" prst="relaxedInset"/>
      <a:contourClr>
        <a:schemeClr val="bg1"/>
      </a:contourClr>
    </dgm:sp3d>
    <dgm:txPr/>
    <dgm:style>
      <a:lnRef idx="1">
        <a:scrgbClr r="0" g="0" b="0"/>
      </a:lnRef>
      <a:fillRef idx="1">
        <a:scrgbClr r="0" g="0" b="0"/>
      </a:fillRef>
      <a:effectRef idx="2">
        <a:scrgbClr r="0" g="0" b="0"/>
      </a:effectRef>
      <a:fontRef idx="minor"/>
    </dgm:style>
  </dgm:styleLbl>
  <dgm:styleLbl name="fgAcc3">
    <dgm:scene3d>
      <a:camera prst="orthographicFront"/>
      <a:lightRig rig="threePt" dir="t">
        <a:rot lat="0" lon="0" rev="7500000"/>
      </a:lightRig>
    </dgm:scene3d>
    <dgm:sp3d z="152400" extrusionH="63500" prstMaterial="dkEdge">
      <a:bevelT w="125400" h="36350" prst="relaxedInset"/>
      <a:contourClr>
        <a:schemeClr val="bg1"/>
      </a:contourClr>
    </dgm:sp3d>
    <dgm:txPr/>
    <dgm:style>
      <a:lnRef idx="1">
        <a:scrgbClr r="0" g="0" b="0"/>
      </a:lnRef>
      <a:fillRef idx="1">
        <a:scrgbClr r="0" g="0" b="0"/>
      </a:fillRef>
      <a:effectRef idx="2">
        <a:scrgbClr r="0" g="0" b="0"/>
      </a:effectRef>
      <a:fontRef idx="minor"/>
    </dgm:style>
  </dgm:styleLbl>
  <dgm:styleLbl name="fgAcc4">
    <dgm:scene3d>
      <a:camera prst="orthographicFront"/>
      <a:lightRig rig="threePt" dir="t">
        <a:rot lat="0" lon="0" rev="7500000"/>
      </a:lightRig>
    </dgm:scene3d>
    <dgm:sp3d z="152400" extrusionH="63500" prstMaterial="dkEdge">
      <a:bevelT w="125400" h="36350" prst="relaxedInset"/>
      <a:contourClr>
        <a:schemeClr val="bg1"/>
      </a:contourClr>
    </dgm:sp3d>
    <dgm:txPr/>
    <dgm:style>
      <a:lnRef idx="1">
        <a:scrgbClr r="0" g="0" b="0"/>
      </a:lnRef>
      <a:fillRef idx="1">
        <a:scrgbClr r="0" g="0" b="0"/>
      </a:fillRef>
      <a:effectRef idx="2">
        <a:scrgbClr r="0" g="0" b="0"/>
      </a:effectRef>
      <a:fontRef idx="minor"/>
    </dgm:style>
  </dgm:styleLbl>
  <dgm:styleLbl name="bgShp">
    <dgm:scene3d>
      <a:camera prst="orthographicFront"/>
      <a:lightRig rig="threePt" dir="t">
        <a:rot lat="0" lon="0" rev="7500000"/>
      </a:lightRig>
    </dgm:scene3d>
    <dgm:sp3d z="-152400" extrusionH="63500" prstMaterial="matte">
      <a:bevelT w="144450" h="6350" prst="relaxedInset"/>
      <a:contourClr>
        <a:schemeClr val="bg1"/>
      </a:contourClr>
    </dgm:sp3d>
    <dgm:txPr/>
    <dgm:style>
      <a:lnRef idx="0">
        <a:scrgbClr r="0" g="0" b="0"/>
      </a:lnRef>
      <a:fillRef idx="3">
        <a:scrgbClr r="0" g="0" b="0"/>
      </a:fillRef>
      <a:effectRef idx="0">
        <a:scrgbClr r="0" g="0" b="0"/>
      </a:effectRef>
      <a:fontRef idx="minor"/>
    </dgm:style>
  </dgm:styleLbl>
  <dgm:styleLbl name="dkBgShp">
    <dgm:scene3d>
      <a:camera prst="orthographicFront"/>
      <a:lightRig rig="threePt" dir="t">
        <a:rot lat="0" lon="0" rev="7500000"/>
      </a:lightRig>
    </dgm:scene3d>
    <dgm:sp3d prstMaterial="plastic">
      <a:bevelT w="127000" h="25400" prst="relaxedInset"/>
      <a:bevelB w="88900" h="121750" prst="angle"/>
    </dgm:sp3d>
    <dgm:txPr/>
    <dgm:style>
      <a:lnRef idx="0">
        <a:scrgbClr r="0" g="0" b="0"/>
      </a:lnRef>
      <a:fillRef idx="1">
        <a:scrgbClr r="0" g="0" b="0"/>
      </a:fillRef>
      <a:effectRef idx="2">
        <a:scrgbClr r="0" g="0" b="0"/>
      </a:effectRef>
      <a:fontRef idx="minor">
        <a:schemeClr val="lt1"/>
      </a:fontRef>
    </dgm:style>
  </dgm:styleLbl>
  <dgm:styleLbl name="trBgShp">
    <dgm:scene3d>
      <a:camera prst="orthographicFront"/>
      <a:lightRig rig="threePt" dir="t"/>
    </dgm:scene3d>
    <dgm:sp3d z="-152400" prstMaterial="matte"/>
    <dgm:txPr/>
    <dgm:style>
      <a:lnRef idx="0">
        <a:scrgbClr r="0" g="0" b="0"/>
      </a:lnRef>
      <a:fillRef idx="1">
        <a:scrgbClr r="0" g="0" b="0"/>
      </a:fillRef>
      <a:effectRef idx="0">
        <a:scrgbClr r="0" g="0" b="0"/>
      </a:effectRef>
      <a:fontRef idx="minor"/>
    </dgm:style>
  </dgm:styleLbl>
  <dgm:styleLbl name="fgShp">
    <dgm:scene3d>
      <a:camera prst="orthographicFront"/>
      <a:lightRig rig="threePt" dir="t">
        <a:rot lat="0" lon="0" rev="7500000"/>
      </a:lightRig>
    </dgm:scene3d>
    <dgm:sp3d z="152400" extrusionH="63500" prstMaterial="matte">
      <a:bevelT w="50800" h="19050" prst="relaxedInset"/>
      <a:contourClr>
        <a:schemeClr val="bg1"/>
      </a:contourClr>
    </dgm:sp3d>
    <dgm:txPr/>
    <dgm:style>
      <a:lnRef idx="0">
        <a:scrgbClr r="0" g="0" b="0"/>
      </a:lnRef>
      <a:fillRef idx="1">
        <a:scrgbClr r="0" g="0" b="0"/>
      </a:fillRef>
      <a:effectRef idx="2">
        <a:scrgbClr r="0" g="0" b="0"/>
      </a:effectRef>
      <a:fontRef idx="minor">
        <a:schemeClr val="lt1"/>
      </a:fontRef>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8" Type="http://schemas.openxmlformats.org/officeDocument/2006/relationships/image" Target="../media/image3.png"/><Relationship Id="rId3" Type="http://schemas.openxmlformats.org/officeDocument/2006/relationships/diagramLayout" Target="../diagrams/layout1.xml"/><Relationship Id="rId7" Type="http://schemas.openxmlformats.org/officeDocument/2006/relationships/image" Target="../media/image2.png"/><Relationship Id="rId2" Type="http://schemas.openxmlformats.org/officeDocument/2006/relationships/diagramData" Target="../diagrams/data1.xml"/><Relationship Id="rId1" Type="http://schemas.openxmlformats.org/officeDocument/2006/relationships/image" Target="../media/image1.png"/><Relationship Id="rId6" Type="http://schemas.microsoft.com/office/2007/relationships/diagramDrawing" Target="../diagrams/drawing1.xml"/><Relationship Id="rId11" Type="http://schemas.openxmlformats.org/officeDocument/2006/relationships/image" Target="../media/image5.png"/><Relationship Id="rId5" Type="http://schemas.openxmlformats.org/officeDocument/2006/relationships/diagramColors" Target="../diagrams/colors1.xml"/><Relationship Id="rId10" Type="http://schemas.openxmlformats.org/officeDocument/2006/relationships/image" Target="../media/image4.png"/><Relationship Id="rId4" Type="http://schemas.openxmlformats.org/officeDocument/2006/relationships/diagramQuickStyle" Target="../diagrams/quickStyle1.xml"/><Relationship Id="rId9" Type="http://schemas.openxmlformats.org/officeDocument/2006/relationships/hyperlink" Target="#Etusivu!A3"/></Relationships>
</file>

<file path=xl/drawings/_rels/drawing10.xml.rels><?xml version="1.0" encoding="UTF-8" standalone="yes"?>
<Relationships xmlns="http://schemas.openxmlformats.org/package/2006/relationships"><Relationship Id="rId8" Type="http://schemas.openxmlformats.org/officeDocument/2006/relationships/hyperlink" Target="#L&#228;ht&#246;tiedot!A3"/><Relationship Id="rId3" Type="http://schemas.openxmlformats.org/officeDocument/2006/relationships/hyperlink" Target="#'Emolehm&#228;n tuotantokustannus 1'!A1"/><Relationship Id="rId7" Type="http://schemas.openxmlformats.org/officeDocument/2006/relationships/hyperlink" Target="#'Emolehm&#228;n tuotantokustannus 1'!A3"/><Relationship Id="rId2" Type="http://schemas.openxmlformats.org/officeDocument/2006/relationships/hyperlink" Target="#'Emolehm&#228;n tuotantokustannus 1'!AN1"/><Relationship Id="rId1" Type="http://schemas.openxmlformats.org/officeDocument/2006/relationships/chart" Target="../charts/chart23.xml"/><Relationship Id="rId6" Type="http://schemas.openxmlformats.org/officeDocument/2006/relationships/chart" Target="../charts/chart25.xml"/><Relationship Id="rId5" Type="http://schemas.openxmlformats.org/officeDocument/2006/relationships/chart" Target="../charts/chart24.xml"/><Relationship Id="rId10" Type="http://schemas.openxmlformats.org/officeDocument/2006/relationships/chart" Target="../charts/chart26.xml"/><Relationship Id="rId4" Type="http://schemas.openxmlformats.org/officeDocument/2006/relationships/hyperlink" Target="#'Emolehm&#228;n tuotantokustannus 1'!A70"/><Relationship Id="rId9" Type="http://schemas.openxmlformats.org/officeDocument/2006/relationships/image" Target="../media/image4.png"/></Relationships>
</file>

<file path=xl/drawings/_rels/drawing11.xml.rels><?xml version="1.0" encoding="UTF-8" standalone="yes"?>
<Relationships xmlns="http://schemas.openxmlformats.org/package/2006/relationships"><Relationship Id="rId8" Type="http://schemas.openxmlformats.org/officeDocument/2006/relationships/hyperlink" Target="#L&#228;ht&#246;tiedot!A3"/><Relationship Id="rId3" Type="http://schemas.openxmlformats.org/officeDocument/2006/relationships/hyperlink" Target="#'Emolehm&#228;n tuotantokustannus 2'!A1"/><Relationship Id="rId7" Type="http://schemas.openxmlformats.org/officeDocument/2006/relationships/hyperlink" Target="#'Emolehm&#228;n tuotantokustannus 2'!A3"/><Relationship Id="rId2" Type="http://schemas.openxmlformats.org/officeDocument/2006/relationships/hyperlink" Target="#'Emolehm&#228;n tuotantokustannus 2'!AN1"/><Relationship Id="rId1" Type="http://schemas.openxmlformats.org/officeDocument/2006/relationships/chart" Target="../charts/chart27.xml"/><Relationship Id="rId6" Type="http://schemas.openxmlformats.org/officeDocument/2006/relationships/chart" Target="../charts/chart29.xml"/><Relationship Id="rId5" Type="http://schemas.openxmlformats.org/officeDocument/2006/relationships/chart" Target="../charts/chart28.xml"/><Relationship Id="rId10" Type="http://schemas.openxmlformats.org/officeDocument/2006/relationships/chart" Target="../charts/chart30.xml"/><Relationship Id="rId4" Type="http://schemas.openxmlformats.org/officeDocument/2006/relationships/hyperlink" Target="#'Emolehm&#228;n tuotantokustannus 2'!A70"/><Relationship Id="rId9" Type="http://schemas.openxmlformats.org/officeDocument/2006/relationships/image" Target="../media/image4.png"/></Relationships>
</file>

<file path=xl/drawings/_rels/drawing12.xml.rels><?xml version="1.0" encoding="UTF-8" standalone="yes"?>
<Relationships xmlns="http://schemas.openxmlformats.org/package/2006/relationships"><Relationship Id="rId8" Type="http://schemas.openxmlformats.org/officeDocument/2006/relationships/hyperlink" Target="#L&#228;ht&#246;tiedot!A3"/><Relationship Id="rId3" Type="http://schemas.openxmlformats.org/officeDocument/2006/relationships/hyperlink" Target="#'Lihasonnin tuotantokustannus'!A1"/><Relationship Id="rId7" Type="http://schemas.openxmlformats.org/officeDocument/2006/relationships/hyperlink" Target="#'Lihasonnin tuotantokustannus'!A3"/><Relationship Id="rId2" Type="http://schemas.openxmlformats.org/officeDocument/2006/relationships/hyperlink" Target="#'Lihasonnin tuotantokustannus'!AN1"/><Relationship Id="rId1" Type="http://schemas.openxmlformats.org/officeDocument/2006/relationships/chart" Target="../charts/chart31.xml"/><Relationship Id="rId6" Type="http://schemas.openxmlformats.org/officeDocument/2006/relationships/chart" Target="../charts/chart33.xml"/><Relationship Id="rId5" Type="http://schemas.openxmlformats.org/officeDocument/2006/relationships/chart" Target="../charts/chart32.xml"/><Relationship Id="rId10" Type="http://schemas.openxmlformats.org/officeDocument/2006/relationships/chart" Target="../charts/chart34.xml"/><Relationship Id="rId4" Type="http://schemas.openxmlformats.org/officeDocument/2006/relationships/hyperlink" Target="#'Lihasonnin tuotantokustannus'!A70"/><Relationship Id="rId9" Type="http://schemas.openxmlformats.org/officeDocument/2006/relationships/image" Target="../media/image4.png"/></Relationships>
</file>

<file path=xl/drawings/_rels/drawing13.xml.rels><?xml version="1.0" encoding="UTF-8" standalone="yes"?>
<Relationships xmlns="http://schemas.openxmlformats.org/package/2006/relationships"><Relationship Id="rId8" Type="http://schemas.openxmlformats.org/officeDocument/2006/relationships/hyperlink" Target="#L&#228;ht&#246;tiedot!A3"/><Relationship Id="rId3" Type="http://schemas.openxmlformats.org/officeDocument/2006/relationships/hyperlink" Target="#'Lihahiehon tuotantokustannus'!A1"/><Relationship Id="rId7" Type="http://schemas.openxmlformats.org/officeDocument/2006/relationships/hyperlink" Target="#'Lihahiehon tuotantokustannus'!A3"/><Relationship Id="rId2" Type="http://schemas.openxmlformats.org/officeDocument/2006/relationships/hyperlink" Target="#'Lihahiehon tuotantokustannus'!AN1"/><Relationship Id="rId1" Type="http://schemas.openxmlformats.org/officeDocument/2006/relationships/chart" Target="../charts/chart35.xml"/><Relationship Id="rId6" Type="http://schemas.openxmlformats.org/officeDocument/2006/relationships/chart" Target="../charts/chart37.xml"/><Relationship Id="rId5" Type="http://schemas.openxmlformats.org/officeDocument/2006/relationships/chart" Target="../charts/chart36.xml"/><Relationship Id="rId10" Type="http://schemas.openxmlformats.org/officeDocument/2006/relationships/chart" Target="../charts/chart38.xml"/><Relationship Id="rId4" Type="http://schemas.openxmlformats.org/officeDocument/2006/relationships/hyperlink" Target="#'Lihahiehon tuotantokustannus'!A70"/><Relationship Id="rId9" Type="http://schemas.openxmlformats.org/officeDocument/2006/relationships/image" Target="../media/image4.png"/></Relationships>
</file>

<file path=xl/drawings/_rels/drawing14.xml.rels><?xml version="1.0" encoding="UTF-8" standalone="yes"?>
<Relationships xmlns="http://schemas.openxmlformats.org/package/2006/relationships"><Relationship Id="rId3" Type="http://schemas.openxmlformats.org/officeDocument/2006/relationships/hyperlink" Target="#L&#228;ht&#246;tiedot!A3"/><Relationship Id="rId2" Type="http://schemas.openxmlformats.org/officeDocument/2006/relationships/hyperlink" Target="#Yhteenveto!A3"/><Relationship Id="rId1" Type="http://schemas.openxmlformats.org/officeDocument/2006/relationships/image" Target="../media/image4.png"/></Relationships>
</file>

<file path=xl/drawings/_rels/drawing15.xml.rels><?xml version="1.0" encoding="UTF-8" standalone="yes"?>
<Relationships xmlns="http://schemas.openxmlformats.org/package/2006/relationships"><Relationship Id="rId3" Type="http://schemas.openxmlformats.org/officeDocument/2006/relationships/hyperlink" Target="#L&#228;ht&#246;tiedot!A3"/><Relationship Id="rId2" Type="http://schemas.openxmlformats.org/officeDocument/2006/relationships/hyperlink" Target="#'Rehujen tuotantokustannukset'!A3"/><Relationship Id="rId1" Type="http://schemas.openxmlformats.org/officeDocument/2006/relationships/image" Target="../media/image4.png"/></Relationships>
</file>

<file path=xl/drawings/_rels/drawing16.xml.rels><?xml version="1.0" encoding="UTF-8" standalone="yes"?>
<Relationships xmlns="http://schemas.openxmlformats.org/package/2006/relationships"><Relationship Id="rId8" Type="http://schemas.openxmlformats.org/officeDocument/2006/relationships/hyperlink" Target="#Tuotantokustannusvertailu!A216"/><Relationship Id="rId3" Type="http://schemas.openxmlformats.org/officeDocument/2006/relationships/hyperlink" Target="#Etusivu!A1"/><Relationship Id="rId7" Type="http://schemas.openxmlformats.org/officeDocument/2006/relationships/hyperlink" Target="#Tuotantokustannusvertailu!A170"/><Relationship Id="rId2" Type="http://schemas.openxmlformats.org/officeDocument/2006/relationships/hyperlink" Target="#L&#228;ht&#246;tiedot!A3"/><Relationship Id="rId1" Type="http://schemas.openxmlformats.org/officeDocument/2006/relationships/hyperlink" Target="#Tuotantokustannusvertailu!A2"/><Relationship Id="rId6" Type="http://schemas.openxmlformats.org/officeDocument/2006/relationships/hyperlink" Target="#Tuotantokustannusvertailu!A124"/><Relationship Id="rId11" Type="http://schemas.openxmlformats.org/officeDocument/2006/relationships/chart" Target="../charts/chart40.xml"/><Relationship Id="rId5" Type="http://schemas.openxmlformats.org/officeDocument/2006/relationships/hyperlink" Target="#Tuotantokustannusvertailu!A78"/><Relationship Id="rId10" Type="http://schemas.openxmlformats.org/officeDocument/2006/relationships/chart" Target="../charts/chart39.xml"/><Relationship Id="rId4" Type="http://schemas.openxmlformats.org/officeDocument/2006/relationships/image" Target="../media/image4.png"/><Relationship Id="rId9" Type="http://schemas.openxmlformats.org/officeDocument/2006/relationships/hyperlink" Target="#Tuotantokustannusvertailu!A262"/></Relationships>
</file>

<file path=xl/drawings/_rels/drawing17.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hyperlink" Target="#L&#228;ht&#246;tiedot!A3"/><Relationship Id="rId1" Type="http://schemas.openxmlformats.org/officeDocument/2006/relationships/hyperlink" Target="#'Energiantarve Lehm&#228;+uudistus'!A18"/></Relationships>
</file>

<file path=xl/drawings/_rels/drawing18.xml.rels><?xml version="1.0" encoding="UTF-8" standalone="yes"?>
<Relationships xmlns="http://schemas.openxmlformats.org/package/2006/relationships"><Relationship Id="rId3" Type="http://schemas.openxmlformats.org/officeDocument/2006/relationships/image" Target="../media/image20.png"/><Relationship Id="rId7" Type="http://schemas.openxmlformats.org/officeDocument/2006/relationships/image" Target="../media/image4.png"/><Relationship Id="rId2" Type="http://schemas.openxmlformats.org/officeDocument/2006/relationships/image" Target="../media/image19.png"/><Relationship Id="rId1" Type="http://schemas.openxmlformats.org/officeDocument/2006/relationships/image" Target="../media/image18.png"/><Relationship Id="rId6" Type="http://schemas.openxmlformats.org/officeDocument/2006/relationships/hyperlink" Target="#L&#228;ht&#246;tiedot!A3"/><Relationship Id="rId5" Type="http://schemas.openxmlformats.org/officeDocument/2006/relationships/hyperlink" Target="#'Energiantarve Emolehm&#228;'!A3"/><Relationship Id="rId4" Type="http://schemas.openxmlformats.org/officeDocument/2006/relationships/image" Target="../media/image21.png"/></Relationships>
</file>

<file path=xl/drawings/_rels/drawing19.xml.rels><?xml version="1.0" encoding="UTF-8" standalone="yes"?>
<Relationships xmlns="http://schemas.openxmlformats.org/package/2006/relationships"><Relationship Id="rId3" Type="http://schemas.openxmlformats.org/officeDocument/2006/relationships/hyperlink" Target="#L&#228;ht&#246;tiedot!A3"/><Relationship Id="rId2" Type="http://schemas.openxmlformats.org/officeDocument/2006/relationships/hyperlink" Target="#'Energiantarve Emol. uudistus'!A11"/><Relationship Id="rId1" Type="http://schemas.openxmlformats.org/officeDocument/2006/relationships/image" Target="../media/image4.png"/></Relationships>
</file>

<file path=xl/drawings/_rels/drawing2.xml.rels><?xml version="1.0" encoding="UTF-8" standalone="yes"?>
<Relationships xmlns="http://schemas.openxmlformats.org/package/2006/relationships"><Relationship Id="rId2" Type="http://schemas.openxmlformats.org/officeDocument/2006/relationships/hyperlink" Target="https://openedu.savonia.fi/course/index.php?categoryid=7" TargetMode="External"/><Relationship Id="rId1" Type="http://schemas.openxmlformats.org/officeDocument/2006/relationships/image" Target="../media/image4.png"/></Relationships>
</file>

<file path=xl/drawings/_rels/drawing20.xml.rels><?xml version="1.0" encoding="UTF-8" standalone="yes"?>
<Relationships xmlns="http://schemas.openxmlformats.org/package/2006/relationships"><Relationship Id="rId3" Type="http://schemas.openxmlformats.org/officeDocument/2006/relationships/hyperlink" Target="#L&#228;ht&#246;tiedot!A3"/><Relationship Id="rId2" Type="http://schemas.openxmlformats.org/officeDocument/2006/relationships/hyperlink" Target="#'Energiantarve Lihasonni'!A11"/><Relationship Id="rId1" Type="http://schemas.openxmlformats.org/officeDocument/2006/relationships/hyperlink" Target="https://portal.mtt.fi/portal/page/portal/Rehutaulukot/Ruokintasuositukset/Marehtijat/Kasvavien_nautojen_valkuaissuositukset" TargetMode="External"/><Relationship Id="rId4" Type="http://schemas.openxmlformats.org/officeDocument/2006/relationships/image" Target="../media/image4.png"/></Relationships>
</file>

<file path=xl/drawings/_rels/drawing21.xml.rels><?xml version="1.0" encoding="UTF-8" standalone="yes"?>
<Relationships xmlns="http://schemas.openxmlformats.org/package/2006/relationships"><Relationship Id="rId3" Type="http://schemas.openxmlformats.org/officeDocument/2006/relationships/hyperlink" Target="#L&#228;ht&#246;tiedot!A3"/><Relationship Id="rId2" Type="http://schemas.openxmlformats.org/officeDocument/2006/relationships/hyperlink" Target="#'Energiantarve Lihahieho'!A11"/><Relationship Id="rId1" Type="http://schemas.openxmlformats.org/officeDocument/2006/relationships/hyperlink" Target="https://portal.mtt.fi/portal/page/portal/Rehutaulukot/Ruokintasuositukset/Marehtijat/Kasvavien_hiehojen_energiasuositukset" TargetMode="External"/><Relationship Id="rId4" Type="http://schemas.openxmlformats.org/officeDocument/2006/relationships/image" Target="../media/image4.png"/></Relationships>
</file>

<file path=xl/drawings/_rels/drawing22.xml.rels><?xml version="1.0" encoding="UTF-8" standalone="yes"?>
<Relationships xmlns="http://schemas.openxmlformats.org/package/2006/relationships"><Relationship Id="rId3" Type="http://schemas.openxmlformats.org/officeDocument/2006/relationships/hyperlink" Target="#L&#228;ht&#246;tiedot!A3"/><Relationship Id="rId2" Type="http://schemas.openxmlformats.org/officeDocument/2006/relationships/hyperlink" Target="#'Energiantarve Siitossonni'!A3"/><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8" Type="http://schemas.openxmlformats.org/officeDocument/2006/relationships/diagramLayout" Target="../diagrams/layout3.xml"/><Relationship Id="rId13" Type="http://schemas.openxmlformats.org/officeDocument/2006/relationships/chart" Target="../charts/chart1.xml"/><Relationship Id="rId3" Type="http://schemas.openxmlformats.org/officeDocument/2006/relationships/diagramLayout" Target="../diagrams/layout2.xml"/><Relationship Id="rId7" Type="http://schemas.openxmlformats.org/officeDocument/2006/relationships/diagramData" Target="../diagrams/data3.xml"/><Relationship Id="rId12" Type="http://schemas.openxmlformats.org/officeDocument/2006/relationships/hyperlink" Target="#L&#228;ht&#246;tiedot!A2"/><Relationship Id="rId2" Type="http://schemas.openxmlformats.org/officeDocument/2006/relationships/diagramData" Target="../diagrams/data2.xml"/><Relationship Id="rId1" Type="http://schemas.openxmlformats.org/officeDocument/2006/relationships/image" Target="../media/image4.png"/><Relationship Id="rId6" Type="http://schemas.microsoft.com/office/2007/relationships/diagramDrawing" Target="../diagrams/drawing2.xml"/><Relationship Id="rId11" Type="http://schemas.microsoft.com/office/2007/relationships/diagramDrawing" Target="../diagrams/drawing3.xml"/><Relationship Id="rId5" Type="http://schemas.openxmlformats.org/officeDocument/2006/relationships/diagramColors" Target="../diagrams/colors2.xml"/><Relationship Id="rId10" Type="http://schemas.openxmlformats.org/officeDocument/2006/relationships/diagramColors" Target="../diagrams/colors3.xml"/><Relationship Id="rId4" Type="http://schemas.openxmlformats.org/officeDocument/2006/relationships/diagramQuickStyle" Target="../diagrams/quickStyle2.xml"/><Relationship Id="rId9" Type="http://schemas.openxmlformats.org/officeDocument/2006/relationships/diagramQuickStyle" Target="../diagrams/quickStyle3.xml"/><Relationship Id="rId14" Type="http://schemas.openxmlformats.org/officeDocument/2006/relationships/chart" Target="../charts/chart2.xml"/></Relationships>
</file>

<file path=xl/drawings/_rels/drawing4.xml.rels><?xml version="1.0" encoding="UTF-8" standalone="yes"?>
<Relationships xmlns="http://schemas.openxmlformats.org/package/2006/relationships"><Relationship Id="rId8" Type="http://schemas.openxmlformats.org/officeDocument/2006/relationships/hyperlink" Target="#Energiantarve!A3"/><Relationship Id="rId3" Type="http://schemas.openxmlformats.org/officeDocument/2006/relationships/chart" Target="../charts/chart5.xml"/><Relationship Id="rId7" Type="http://schemas.openxmlformats.org/officeDocument/2006/relationships/chart" Target="../charts/chart9.xml"/><Relationship Id="rId2" Type="http://schemas.openxmlformats.org/officeDocument/2006/relationships/chart" Target="../charts/chart4.xml"/><Relationship Id="rId1" Type="http://schemas.openxmlformats.org/officeDocument/2006/relationships/chart" Target="../charts/chart3.xml"/><Relationship Id="rId6" Type="http://schemas.openxmlformats.org/officeDocument/2006/relationships/chart" Target="../charts/chart8.xml"/><Relationship Id="rId5" Type="http://schemas.openxmlformats.org/officeDocument/2006/relationships/chart" Target="../charts/chart7.xml"/><Relationship Id="rId10" Type="http://schemas.openxmlformats.org/officeDocument/2006/relationships/image" Target="../media/image4.png"/><Relationship Id="rId4" Type="http://schemas.openxmlformats.org/officeDocument/2006/relationships/chart" Target="../charts/chart6.xml"/><Relationship Id="rId9" Type="http://schemas.openxmlformats.org/officeDocument/2006/relationships/hyperlink" Target="#L&#228;ht&#246;tiedot!A3"/></Relationships>
</file>

<file path=xl/drawings/_rels/drawing5.xml.rels><?xml version="1.0" encoding="UTF-8" standalone="yes"?>
<Relationships xmlns="http://schemas.openxmlformats.org/package/2006/relationships"><Relationship Id="rId3" Type="http://schemas.openxmlformats.org/officeDocument/2006/relationships/hyperlink" Target="#Rehuntuotanto!A3"/><Relationship Id="rId2" Type="http://schemas.openxmlformats.org/officeDocument/2006/relationships/chart" Target="../charts/chart11.xml"/><Relationship Id="rId1" Type="http://schemas.openxmlformats.org/officeDocument/2006/relationships/chart" Target="../charts/chart10.xml"/><Relationship Id="rId5" Type="http://schemas.openxmlformats.org/officeDocument/2006/relationships/image" Target="../media/image4.png"/><Relationship Id="rId4" Type="http://schemas.openxmlformats.org/officeDocument/2006/relationships/hyperlink" Target="#L&#228;ht&#246;tiedot!A3"/></Relationships>
</file>

<file path=xl/drawings/_rels/drawing6.xml.rels><?xml version="1.0" encoding="UTF-8" standalone="yes"?>
<Relationships xmlns="http://schemas.openxmlformats.org/package/2006/relationships"><Relationship Id="rId3" Type="http://schemas.openxmlformats.org/officeDocument/2006/relationships/hyperlink" Target="#L&#228;ht&#246;tiedot!A3"/><Relationship Id="rId2" Type="http://schemas.openxmlformats.org/officeDocument/2006/relationships/chart" Target="../charts/chart13.xml"/><Relationship Id="rId1" Type="http://schemas.openxmlformats.org/officeDocument/2006/relationships/chart" Target="../charts/chart12.xml"/><Relationship Id="rId5" Type="http://schemas.openxmlformats.org/officeDocument/2006/relationships/image" Target="../media/image4.png"/><Relationship Id="rId4" Type="http://schemas.openxmlformats.org/officeDocument/2006/relationships/hyperlink" Target="#'Rehun k&#228;ytt&#246;, nettosato'!A3"/></Relationships>
</file>

<file path=xl/drawings/_rels/drawing7.xml.rels><?xml version="1.0" encoding="UTF-8" standalone="yes"?>
<Relationships xmlns="http://schemas.openxmlformats.org/package/2006/relationships"><Relationship Id="rId8" Type="http://schemas.openxmlformats.org/officeDocument/2006/relationships/chart" Target="../charts/chart14.xml"/><Relationship Id="rId3" Type="http://schemas.openxmlformats.org/officeDocument/2006/relationships/image" Target="../media/image13.png"/><Relationship Id="rId7" Type="http://schemas.openxmlformats.org/officeDocument/2006/relationships/hyperlink" Target="#L&#228;ht&#246;tiedot!A3"/><Relationship Id="rId2" Type="http://schemas.openxmlformats.org/officeDocument/2006/relationships/image" Target="../media/image12.png"/><Relationship Id="rId1" Type="http://schemas.openxmlformats.org/officeDocument/2006/relationships/image" Target="../media/image11.png"/><Relationship Id="rId6" Type="http://schemas.openxmlformats.org/officeDocument/2006/relationships/hyperlink" Target="#H&#228;vikki!A2"/><Relationship Id="rId5" Type="http://schemas.openxmlformats.org/officeDocument/2006/relationships/image" Target="../media/image4.png"/><Relationship Id="rId4" Type="http://schemas.openxmlformats.org/officeDocument/2006/relationships/image" Target="../media/image14.png"/></Relationships>
</file>

<file path=xl/drawings/_rels/drawing8.xml.rels><?xml version="1.0" encoding="UTF-8" standalone="yes"?>
<Relationships xmlns="http://schemas.openxmlformats.org/package/2006/relationships"><Relationship Id="rId8" Type="http://schemas.openxmlformats.org/officeDocument/2006/relationships/hyperlink" Target="#'S&#228;il&#246;rehun tuotantokustannus'!A3"/><Relationship Id="rId3" Type="http://schemas.openxmlformats.org/officeDocument/2006/relationships/hyperlink" Target="#'S&#228;il&#246;rehun tuotantokustannus'!AI1"/><Relationship Id="rId7" Type="http://schemas.openxmlformats.org/officeDocument/2006/relationships/chart" Target="../charts/chart18.xml"/><Relationship Id="rId2" Type="http://schemas.openxmlformats.org/officeDocument/2006/relationships/chart" Target="../charts/chart16.xml"/><Relationship Id="rId1" Type="http://schemas.openxmlformats.org/officeDocument/2006/relationships/chart" Target="../charts/chart15.xml"/><Relationship Id="rId6" Type="http://schemas.openxmlformats.org/officeDocument/2006/relationships/chart" Target="../charts/chart17.xml"/><Relationship Id="rId5" Type="http://schemas.openxmlformats.org/officeDocument/2006/relationships/hyperlink" Target="#'S&#228;il&#246;rehun tuotantokustannus'!A60"/><Relationship Id="rId10" Type="http://schemas.openxmlformats.org/officeDocument/2006/relationships/image" Target="../media/image4.png"/><Relationship Id="rId4" Type="http://schemas.openxmlformats.org/officeDocument/2006/relationships/hyperlink" Target="#'S&#228;il&#246;rehun tuotantokustannus'!A1"/><Relationship Id="rId9" Type="http://schemas.openxmlformats.org/officeDocument/2006/relationships/hyperlink" Target="#L&#228;ht&#246;tiedot!A3"/></Relationships>
</file>

<file path=xl/drawings/_rels/drawing9.xml.rels><?xml version="1.0" encoding="UTF-8" standalone="yes"?>
<Relationships xmlns="http://schemas.openxmlformats.org/package/2006/relationships"><Relationship Id="rId8" Type="http://schemas.openxmlformats.org/officeDocument/2006/relationships/hyperlink" Target="#L&#228;ht&#246;tiedot!A3"/><Relationship Id="rId3" Type="http://schemas.openxmlformats.org/officeDocument/2006/relationships/hyperlink" Target="#Maidontuotantokustannus!A1"/><Relationship Id="rId7" Type="http://schemas.openxmlformats.org/officeDocument/2006/relationships/hyperlink" Target="#Maidontuotantokustannus!A3"/><Relationship Id="rId2" Type="http://schemas.openxmlformats.org/officeDocument/2006/relationships/hyperlink" Target="#Maidontuotantokustannus!AN1"/><Relationship Id="rId1" Type="http://schemas.openxmlformats.org/officeDocument/2006/relationships/chart" Target="../charts/chart19.xml"/><Relationship Id="rId6" Type="http://schemas.openxmlformats.org/officeDocument/2006/relationships/chart" Target="../charts/chart21.xml"/><Relationship Id="rId5" Type="http://schemas.openxmlformats.org/officeDocument/2006/relationships/chart" Target="../charts/chart20.xml"/><Relationship Id="rId10" Type="http://schemas.openxmlformats.org/officeDocument/2006/relationships/chart" Target="../charts/chart22.xml"/><Relationship Id="rId4" Type="http://schemas.openxmlformats.org/officeDocument/2006/relationships/hyperlink" Target="#Maidontuotantokustannus!A70"/><Relationship Id="rId9"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0</xdr:col>
      <xdr:colOff>95250</xdr:colOff>
      <xdr:row>9</xdr:row>
      <xdr:rowOff>9526</xdr:rowOff>
    </xdr:from>
    <xdr:to>
      <xdr:col>4</xdr:col>
      <xdr:colOff>123825</xdr:colOff>
      <xdr:row>17</xdr:row>
      <xdr:rowOff>200026</xdr:rowOff>
    </xdr:to>
    <xdr:sp macro="" textlink="">
      <xdr:nvSpPr>
        <xdr:cNvPr id="23" name="Suorakulmio 22">
          <a:extLst>
            <a:ext uri="{FF2B5EF4-FFF2-40B4-BE49-F238E27FC236}">
              <a16:creationId xmlns:a16="http://schemas.microsoft.com/office/drawing/2014/main" id="{00000000-0008-0000-0000-000017000000}"/>
            </a:ext>
          </a:extLst>
        </xdr:cNvPr>
        <xdr:cNvSpPr/>
      </xdr:nvSpPr>
      <xdr:spPr>
        <a:xfrm>
          <a:off x="95250" y="2352676"/>
          <a:ext cx="2981325" cy="2705100"/>
        </a:xfrm>
        <a:prstGeom prst="rect">
          <a:avLst/>
        </a:prstGeom>
        <a:solidFill>
          <a:schemeClr val="bg1">
            <a:lumMod val="85000"/>
          </a:schemeClr>
        </a:solidFill>
        <a:ln>
          <a:noFill/>
        </a:ln>
        <a:effectLst>
          <a:softEdge rad="31750"/>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i-FI" sz="1100"/>
        </a:p>
      </xdr:txBody>
    </xdr:sp>
    <xdr:clientData/>
  </xdr:twoCellAnchor>
  <xdr:twoCellAnchor editAs="oneCell">
    <xdr:from>
      <xdr:col>18</xdr:col>
      <xdr:colOff>419100</xdr:colOff>
      <xdr:row>16</xdr:row>
      <xdr:rowOff>267671</xdr:rowOff>
    </xdr:from>
    <xdr:to>
      <xdr:col>23</xdr:col>
      <xdr:colOff>589976</xdr:colOff>
      <xdr:row>20</xdr:row>
      <xdr:rowOff>261784</xdr:rowOff>
    </xdr:to>
    <xdr:pic>
      <xdr:nvPicPr>
        <xdr:cNvPr id="17" name="Kuva 16">
          <a:extLst>
            <a:ext uri="{FF2B5EF4-FFF2-40B4-BE49-F238E27FC236}">
              <a16:creationId xmlns:a16="http://schemas.microsoft.com/office/drawing/2014/main" id="{00000000-0008-0000-0000-000011000000}"/>
            </a:ext>
          </a:extLst>
        </xdr:cNvPr>
        <xdr:cNvPicPr>
          <a:picLocks noChangeAspect="1"/>
        </xdr:cNvPicPr>
      </xdr:nvPicPr>
      <xdr:blipFill>
        <a:blip xmlns:r="http://schemas.openxmlformats.org/officeDocument/2006/relationships" r:embed="rId1"/>
        <a:stretch>
          <a:fillRect/>
        </a:stretch>
      </xdr:blipFill>
      <xdr:spPr>
        <a:xfrm>
          <a:off x="13935075" y="4763471"/>
          <a:ext cx="3218876" cy="1251413"/>
        </a:xfrm>
        <a:prstGeom prst="rect">
          <a:avLst/>
        </a:prstGeom>
      </xdr:spPr>
    </xdr:pic>
    <xdr:clientData/>
  </xdr:twoCellAnchor>
  <xdr:twoCellAnchor>
    <xdr:from>
      <xdr:col>0</xdr:col>
      <xdr:colOff>0</xdr:colOff>
      <xdr:row>5</xdr:row>
      <xdr:rowOff>285751</xdr:rowOff>
    </xdr:from>
    <xdr:to>
      <xdr:col>4</xdr:col>
      <xdr:colOff>114300</xdr:colOff>
      <xdr:row>23</xdr:row>
      <xdr:rowOff>240926</xdr:rowOff>
    </xdr:to>
    <xdr:graphicFrame macro="">
      <xdr:nvGraphicFramePr>
        <xdr:cNvPr id="12" name="Kaaviokuva 11">
          <a:extLst>
            <a:ext uri="{FF2B5EF4-FFF2-40B4-BE49-F238E27FC236}">
              <a16:creationId xmlns:a16="http://schemas.microsoft.com/office/drawing/2014/main" id="{00000000-0008-0000-0000-00000C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2" r:lo="rId3" r:qs="rId4" r:cs="rId5"/>
        </a:graphicData>
      </a:graphic>
    </xdr:graphicFrame>
    <xdr:clientData/>
  </xdr:twoCellAnchor>
  <xdr:twoCellAnchor>
    <xdr:from>
      <xdr:col>0</xdr:col>
      <xdr:colOff>114300</xdr:colOff>
      <xdr:row>2</xdr:row>
      <xdr:rowOff>104775</xdr:rowOff>
    </xdr:from>
    <xdr:to>
      <xdr:col>11</xdr:col>
      <xdr:colOff>476250</xdr:colOff>
      <xdr:row>5</xdr:row>
      <xdr:rowOff>219075</xdr:rowOff>
    </xdr:to>
    <xdr:sp macro="" textlink="">
      <xdr:nvSpPr>
        <xdr:cNvPr id="3" name="Tekstiruutu 2">
          <a:extLst>
            <a:ext uri="{FF2B5EF4-FFF2-40B4-BE49-F238E27FC236}">
              <a16:creationId xmlns:a16="http://schemas.microsoft.com/office/drawing/2014/main" id="{00000000-0008-0000-0000-000003000000}"/>
            </a:ext>
          </a:extLst>
        </xdr:cNvPr>
        <xdr:cNvSpPr txBox="1"/>
      </xdr:nvSpPr>
      <xdr:spPr>
        <a:xfrm>
          <a:off x="114300" y="581025"/>
          <a:ext cx="9544050" cy="685800"/>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050" b="1">
              <a:latin typeface="+mj-lt"/>
            </a:rPr>
            <a:t>Tavoite ja tarkoitus</a:t>
          </a:r>
          <a:r>
            <a:rPr lang="fi-FI" sz="1050">
              <a:latin typeface="+mj-lt"/>
            </a:rPr>
            <a:t>: Maatalousyrittäjä voi itse laskea rehun- ja kotieläintuotannon kannattavuuden </a:t>
          </a:r>
          <a:r>
            <a:rPr lang="fi-FI" sz="1050" baseline="0">
              <a:latin typeface="+mj-lt"/>
            </a:rPr>
            <a:t>ja vertailla tuloksia muihin tiloihin. Yksityiskohtainen vertailu auttaa löytämään kehittämiskohteet. Tulosten vertailu muiden yrittäjien kanssa tarjoaa käytännön työkaluja ja toimenpiteitä oman tilan kehittämiseksi. Laskelman käyttö kannustaa yrittää perehtymään tuotantoon ja tuotantopanosten käyttöön aikaisempaa tarkemmin. Tarkemmat lähtötiedot parantaa jatkossa myös laskelman luotettavuutta.</a:t>
          </a:r>
          <a:endParaRPr lang="fi-FI" sz="1050">
            <a:latin typeface="+mj-lt"/>
          </a:endParaRPr>
        </a:p>
      </xdr:txBody>
    </xdr:sp>
    <xdr:clientData/>
  </xdr:twoCellAnchor>
  <xdr:twoCellAnchor>
    <xdr:from>
      <xdr:col>5</xdr:col>
      <xdr:colOff>19050</xdr:colOff>
      <xdr:row>12</xdr:row>
      <xdr:rowOff>123826</xdr:rowOff>
    </xdr:from>
    <xdr:to>
      <xdr:col>11</xdr:col>
      <xdr:colOff>457200</xdr:colOff>
      <xdr:row>20</xdr:row>
      <xdr:rowOff>123826</xdr:rowOff>
    </xdr:to>
    <xdr:sp macro="" textlink="">
      <xdr:nvSpPr>
        <xdr:cNvPr id="4" name="Tekstiruutu 3">
          <a:extLst>
            <a:ext uri="{FF2B5EF4-FFF2-40B4-BE49-F238E27FC236}">
              <a16:creationId xmlns:a16="http://schemas.microsoft.com/office/drawing/2014/main" id="{00000000-0008-0000-0000-000004000000}"/>
            </a:ext>
          </a:extLst>
        </xdr:cNvPr>
        <xdr:cNvSpPr txBox="1"/>
      </xdr:nvSpPr>
      <xdr:spPr>
        <a:xfrm>
          <a:off x="3219450" y="3362326"/>
          <a:ext cx="6419850" cy="2514600"/>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050" b="1">
              <a:latin typeface="+mj-lt"/>
            </a:rPr>
            <a:t>Laskelman esittely</a:t>
          </a:r>
          <a:r>
            <a:rPr lang="fi-FI" sz="1050">
              <a:latin typeface="+mj-lt"/>
            </a:rPr>
            <a:t>: </a:t>
          </a:r>
          <a:r>
            <a:rPr lang="fi-FI" sz="1100">
              <a:solidFill>
                <a:schemeClr val="dk1"/>
              </a:solidFill>
              <a:effectLst/>
              <a:latin typeface="+mj-lt"/>
              <a:ea typeface="+mn-ea"/>
              <a:cs typeface="+mn-cs"/>
            </a:rPr>
            <a:t>Tuotantokustannukset lasketaan kirjanpitotietojen ja esim. toteutuneen rehun käytön perusteella. </a:t>
          </a:r>
          <a:r>
            <a:rPr lang="fi-FI" sz="1100" b="1">
              <a:solidFill>
                <a:schemeClr val="accent4">
                  <a:lumMod val="50000"/>
                </a:schemeClr>
              </a:solidFill>
              <a:effectLst/>
              <a:latin typeface="+mj-lt"/>
              <a:ea typeface="+mn-ea"/>
              <a:cs typeface="+mn-cs"/>
            </a:rPr>
            <a:t>Ensin lasketaan säilörehun hävikki</a:t>
          </a:r>
          <a:r>
            <a:rPr lang="fi-FI" sz="1100">
              <a:solidFill>
                <a:schemeClr val="accent4">
                  <a:lumMod val="50000"/>
                </a:schemeClr>
              </a:solidFill>
              <a:effectLst/>
              <a:latin typeface="+mj-lt"/>
              <a:ea typeface="+mn-ea"/>
              <a:cs typeface="+mn-cs"/>
            </a:rPr>
            <a:t> </a:t>
          </a:r>
          <a:r>
            <a:rPr lang="fi-FI" sz="1100">
              <a:solidFill>
                <a:schemeClr val="dk1"/>
              </a:solidFill>
              <a:effectLst/>
              <a:latin typeface="+mj-lt"/>
              <a:ea typeface="+mn-ea"/>
              <a:cs typeface="+mn-cs"/>
            </a:rPr>
            <a:t>vertaamalla korjattua satoa (bruttosato) ruokinnassa käytettyyn rehumäärään (nettosato). Tätä varten määritetään kotieläinten energiantarpeet mm. tuotoksen ja elopainon perusteella. </a:t>
          </a:r>
          <a:r>
            <a:rPr lang="fi-FI" sz="1100" b="1">
              <a:solidFill>
                <a:schemeClr val="accent6">
                  <a:lumMod val="50000"/>
                </a:schemeClr>
              </a:solidFill>
              <a:effectLst/>
              <a:latin typeface="+mj-lt"/>
              <a:ea typeface="+mn-ea"/>
              <a:cs typeface="+mn-cs"/>
            </a:rPr>
            <a:t>Kun hehtaarikohtainen tuotantokustannus jaetaan nettosadolla, niin tulokseksi saadaan rehun todellinen tuotantokustannus </a:t>
          </a:r>
          <a:r>
            <a:rPr lang="fi-FI" sz="1100">
              <a:solidFill>
                <a:schemeClr val="dk1"/>
              </a:solidFill>
              <a:effectLst/>
              <a:latin typeface="+mj-lt"/>
              <a:ea typeface="+mn-ea"/>
              <a:cs typeface="+mn-cs"/>
            </a:rPr>
            <a:t>(kuva 1). Jos jakajana käytetään bruttosatoa, niin tulos ei</a:t>
          </a:r>
          <a:r>
            <a:rPr lang="fi-FI" sz="1100" baseline="0">
              <a:solidFill>
                <a:schemeClr val="dk1"/>
              </a:solidFill>
              <a:effectLst/>
              <a:latin typeface="+mj-lt"/>
              <a:ea typeface="+mn-ea"/>
              <a:cs typeface="+mn-cs"/>
            </a:rPr>
            <a:t> vastaa todellisuutta.</a:t>
          </a:r>
          <a:endParaRPr lang="fi-FI" sz="1100">
            <a:solidFill>
              <a:schemeClr val="dk1"/>
            </a:solidFill>
            <a:effectLst/>
            <a:latin typeface="+mj-lt"/>
            <a:ea typeface="+mn-ea"/>
            <a:cs typeface="+mn-cs"/>
          </a:endParaRPr>
        </a:p>
        <a:p>
          <a:endParaRPr lang="fi-FI" sz="400">
            <a:solidFill>
              <a:schemeClr val="dk1"/>
            </a:solidFill>
            <a:effectLst/>
            <a:latin typeface="+mj-lt"/>
            <a:ea typeface="+mn-ea"/>
            <a:cs typeface="+mn-cs"/>
          </a:endParaRPr>
        </a:p>
        <a:p>
          <a:r>
            <a:rPr lang="fi-FI" sz="1050" b="1">
              <a:solidFill>
                <a:schemeClr val="accent6">
                  <a:lumMod val="50000"/>
                </a:schemeClr>
              </a:solidFill>
              <a:effectLst/>
              <a:latin typeface="+mj-lt"/>
              <a:ea typeface="+mn-ea"/>
              <a:cs typeface="+mn-cs"/>
            </a:rPr>
            <a:t>Säilörehun tuotantokustannus </a:t>
          </a:r>
          <a:r>
            <a:rPr lang="fi-FI" sz="1050">
              <a:solidFill>
                <a:schemeClr val="dk1"/>
              </a:solidFill>
              <a:effectLst/>
              <a:latin typeface="+mj-lt"/>
              <a:ea typeface="+mn-ea"/>
              <a:cs typeface="+mn-cs"/>
            </a:rPr>
            <a:t>lasketaan kirjanpitotietojen perusteella. Yksikkökustannus (€/kg ka) saadaan, kun tuotantokustannus (€/ha) jaetaan </a:t>
          </a:r>
          <a:r>
            <a:rPr lang="fi-FI" sz="1050" b="1">
              <a:solidFill>
                <a:schemeClr val="accent6">
                  <a:lumMod val="50000"/>
                </a:schemeClr>
              </a:solidFill>
              <a:effectLst/>
              <a:latin typeface="+mj-lt"/>
              <a:ea typeface="+mn-ea"/>
              <a:cs typeface="+mn-cs"/>
            </a:rPr>
            <a:t>nettosadolla</a:t>
          </a:r>
          <a:r>
            <a:rPr lang="fi-FI" sz="1050">
              <a:solidFill>
                <a:schemeClr val="dk1"/>
              </a:solidFill>
              <a:effectLst/>
              <a:latin typeface="+mj-lt"/>
              <a:ea typeface="+mn-ea"/>
              <a:cs typeface="+mn-cs"/>
            </a:rPr>
            <a:t> (kg ka/ha). </a:t>
          </a:r>
          <a:r>
            <a:rPr lang="fi-FI" sz="1050" b="1">
              <a:solidFill>
                <a:srgbClr val="FF66FF"/>
              </a:solidFill>
              <a:effectLst/>
              <a:latin typeface="+mj-lt"/>
              <a:ea typeface="+mn-ea"/>
              <a:cs typeface="+mn-cs"/>
            </a:rPr>
            <a:t>Kotieläintuotantokustannuksen </a:t>
          </a:r>
          <a:r>
            <a:rPr lang="fi-FI" sz="1050">
              <a:solidFill>
                <a:schemeClr val="dk1"/>
              </a:solidFill>
              <a:effectLst/>
              <a:latin typeface="+mj-lt"/>
              <a:ea typeface="+mn-ea"/>
              <a:cs typeface="+mn-cs"/>
            </a:rPr>
            <a:t>määrittämiseen käytetään kirjanpitotietoja ja säilörehun todellista tuotantokustannusta. Tuotantokustannusta eriteltynä verrataan muihin tiloihin. Vertailu paljastaa, missä kohdin säilörehun- ja kotieläintuotannossa on erityisesti kehitettävää.</a:t>
          </a:r>
        </a:p>
        <a:p>
          <a:endParaRPr lang="fi-FI" sz="400">
            <a:solidFill>
              <a:schemeClr val="dk1"/>
            </a:solidFill>
            <a:effectLst/>
            <a:latin typeface="+mj-lt"/>
            <a:ea typeface="+mn-ea"/>
            <a:cs typeface="+mn-cs"/>
          </a:endParaRPr>
        </a:p>
        <a:p>
          <a:r>
            <a:rPr lang="fi-FI" sz="1050">
              <a:solidFill>
                <a:schemeClr val="dk1"/>
              </a:solidFill>
              <a:effectLst/>
              <a:latin typeface="+mj-lt"/>
              <a:ea typeface="+mn-ea"/>
              <a:cs typeface="+mn-cs"/>
            </a:rPr>
            <a:t>Käytännössä kaikkia lähtöarvoja voi muuttaa ja muokata laskelman eri vaiheissa, joten lopputuloksena on tarkka ja todenmukainen säilörehun- ja maidontuotannontuotantokustannuslaskelma. Laskelman tekeminen auttaa kehittämään myös kirjanpitoa. Esimerkiksi tiliöinti voidaan jatkossa toteuttaa siten, että se palvelee paremmin myös kannattavuuslaskentaa.</a:t>
          </a:r>
        </a:p>
      </xdr:txBody>
    </xdr:sp>
    <xdr:clientData/>
  </xdr:twoCellAnchor>
  <xdr:twoCellAnchor>
    <xdr:from>
      <xdr:col>5</xdr:col>
      <xdr:colOff>28575</xdr:colOff>
      <xdr:row>20</xdr:row>
      <xdr:rowOff>276225</xdr:rowOff>
    </xdr:from>
    <xdr:to>
      <xdr:col>11</xdr:col>
      <xdr:colOff>466725</xdr:colOff>
      <xdr:row>23</xdr:row>
      <xdr:rowOff>285751</xdr:rowOff>
    </xdr:to>
    <xdr:sp macro="" textlink="">
      <xdr:nvSpPr>
        <xdr:cNvPr id="5" name="Tekstiruutu 4">
          <a:extLst>
            <a:ext uri="{FF2B5EF4-FFF2-40B4-BE49-F238E27FC236}">
              <a16:creationId xmlns:a16="http://schemas.microsoft.com/office/drawing/2014/main" id="{00000000-0008-0000-0000-000005000000}"/>
            </a:ext>
          </a:extLst>
        </xdr:cNvPr>
        <xdr:cNvSpPr txBox="1"/>
      </xdr:nvSpPr>
      <xdr:spPr>
        <a:xfrm>
          <a:off x="3228975" y="5886450"/>
          <a:ext cx="6419850" cy="952501"/>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050" b="1">
              <a:latin typeface="+mj-lt"/>
            </a:rPr>
            <a:t>Laskelman yleisohjeet</a:t>
          </a:r>
          <a:r>
            <a:rPr lang="fi-FI" sz="1050">
              <a:latin typeface="+mj-lt"/>
            </a:rPr>
            <a:t>: Laskelmassa edetään oheisen kuvion mukaisessa järjestyksessä: </a:t>
          </a:r>
        </a:p>
        <a:p>
          <a:endParaRPr lang="fi-FI" sz="300">
            <a:latin typeface="+mj-lt"/>
          </a:endParaRPr>
        </a:p>
        <a:p>
          <a:r>
            <a:rPr lang="fi-FI" sz="1050">
              <a:latin typeface="+mj-lt"/>
            </a:rPr>
            <a:t>1) Laadi ensin </a:t>
          </a:r>
          <a:r>
            <a:rPr lang="fi-FI" sz="1050" b="1">
              <a:solidFill>
                <a:schemeClr val="accent6">
                  <a:lumMod val="50000"/>
                </a:schemeClr>
              </a:solidFill>
              <a:latin typeface="+mj-lt"/>
            </a:rPr>
            <a:t>Lähtötiedot ja Rehuntuotanto</a:t>
          </a:r>
          <a:r>
            <a:rPr lang="fi-FI" sz="1050">
              <a:solidFill>
                <a:schemeClr val="dk1"/>
              </a:solidFill>
              <a:latin typeface="+mj-lt"/>
              <a:ea typeface="+mn-ea"/>
              <a:cs typeface="+mn-cs"/>
            </a:rPr>
            <a:t>, jossa määritetään esim. </a:t>
          </a:r>
          <a:r>
            <a:rPr lang="fi-FI" sz="1050" b="1">
              <a:solidFill>
                <a:schemeClr val="accent6">
                  <a:lumMod val="50000"/>
                </a:schemeClr>
              </a:solidFill>
              <a:latin typeface="+mj-lt"/>
              <a:ea typeface="+mn-ea"/>
              <a:cs typeface="+mn-cs"/>
            </a:rPr>
            <a:t>säilörehun nettosato ja hävikki</a:t>
          </a:r>
          <a:r>
            <a:rPr lang="fi-FI" sz="1050" b="1" baseline="0">
              <a:solidFill>
                <a:srgbClr val="0070C0"/>
              </a:solidFill>
              <a:latin typeface="+mj-lt"/>
            </a:rPr>
            <a:t>.</a:t>
          </a:r>
          <a:r>
            <a:rPr lang="fi-FI" sz="1050" b="1" baseline="0">
              <a:solidFill>
                <a:schemeClr val="accent6">
                  <a:lumMod val="50000"/>
                </a:schemeClr>
              </a:solidFill>
              <a:latin typeface="+mj-lt"/>
              <a:ea typeface="+mn-ea"/>
              <a:cs typeface="+mn-cs"/>
            </a:rPr>
            <a:t> </a:t>
          </a:r>
        </a:p>
        <a:p>
          <a:r>
            <a:rPr lang="fi-FI" sz="1050">
              <a:solidFill>
                <a:schemeClr val="dk1"/>
              </a:solidFill>
              <a:latin typeface="+mj-lt"/>
              <a:ea typeface="+mn-ea"/>
              <a:cs typeface="+mn-cs"/>
            </a:rPr>
            <a:t>2) Laske säilörehun tuotantokustannus ja 3) Kotieläintuotantokustannus sekä 4) vertaile laskelmia muihin tiloihin.</a:t>
          </a:r>
        </a:p>
        <a:p>
          <a:r>
            <a:rPr lang="fi-FI" sz="1050">
              <a:solidFill>
                <a:schemeClr val="dk1"/>
              </a:solidFill>
              <a:latin typeface="+mj-lt"/>
              <a:ea typeface="+mn-ea"/>
              <a:cs typeface="+mn-cs"/>
            </a:rPr>
            <a:t>5) Testaa laskelmia eli</a:t>
          </a:r>
          <a:r>
            <a:rPr lang="fi-FI" sz="1050" baseline="0">
              <a:solidFill>
                <a:schemeClr val="dk1"/>
              </a:solidFill>
              <a:latin typeface="+mj-lt"/>
              <a:ea typeface="+mn-ea"/>
              <a:cs typeface="+mn-cs"/>
            </a:rPr>
            <a:t> selvitä minkälaisilla muutoksilla tuotantoon on eniten vaikutusta tuotantokustannukseen.</a:t>
          </a:r>
        </a:p>
        <a:p>
          <a:r>
            <a:rPr lang="fi-FI" sz="1050" baseline="0">
              <a:solidFill>
                <a:schemeClr val="dk1"/>
              </a:solidFill>
              <a:latin typeface="+mj-lt"/>
              <a:ea typeface="+mn-ea"/>
              <a:cs typeface="+mn-cs"/>
            </a:rPr>
            <a:t>6) Laadi toimintasuunnitelma tuotannon kehittämiseen. 7) Vertaa myöhemmin kuinka toteutus onnistui. </a:t>
          </a:r>
          <a:endParaRPr lang="fi-FI" sz="1050">
            <a:solidFill>
              <a:schemeClr val="dk1"/>
            </a:solidFill>
            <a:latin typeface="+mj-lt"/>
            <a:ea typeface="+mn-ea"/>
            <a:cs typeface="+mn-cs"/>
          </a:endParaRPr>
        </a:p>
      </xdr:txBody>
    </xdr:sp>
    <xdr:clientData/>
  </xdr:twoCellAnchor>
  <xdr:twoCellAnchor>
    <xdr:from>
      <xdr:col>12</xdr:col>
      <xdr:colOff>28575</xdr:colOff>
      <xdr:row>20</xdr:row>
      <xdr:rowOff>279798</xdr:rowOff>
    </xdr:from>
    <xdr:to>
      <xdr:col>23</xdr:col>
      <xdr:colOff>590550</xdr:colOff>
      <xdr:row>23</xdr:row>
      <xdr:rowOff>291703</xdr:rowOff>
    </xdr:to>
    <xdr:sp macro="" textlink="">
      <xdr:nvSpPr>
        <xdr:cNvPr id="8" name="Tekstiruutu 7">
          <a:extLst>
            <a:ext uri="{FF2B5EF4-FFF2-40B4-BE49-F238E27FC236}">
              <a16:creationId xmlns:a16="http://schemas.microsoft.com/office/drawing/2014/main" id="{00000000-0008-0000-0000-000008000000}"/>
            </a:ext>
          </a:extLst>
        </xdr:cNvPr>
        <xdr:cNvSpPr txBox="1"/>
      </xdr:nvSpPr>
      <xdr:spPr>
        <a:xfrm>
          <a:off x="9820275" y="5890023"/>
          <a:ext cx="7334250" cy="954880"/>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050" b="1">
              <a:latin typeface="+mj-lt"/>
            </a:rPr>
            <a:t>Laskelman käyttö</a:t>
          </a:r>
          <a:r>
            <a:rPr lang="fi-FI" sz="1050">
              <a:latin typeface="+mj-lt"/>
            </a:rPr>
            <a:t>: Voit hyödyntää laskelmaa vapaasti omaan käyttöösi, mutta sitä ei saa myydä tai luovuttaa muille </a:t>
          </a:r>
          <a:r>
            <a:rPr lang="fi-FI" sz="1050" b="1">
              <a:latin typeface="+mj-lt"/>
            </a:rPr>
            <a:t>(c)</a:t>
          </a:r>
          <a:r>
            <a:rPr lang="fi-FI" sz="1050">
              <a:latin typeface="+mj-lt"/>
            </a:rPr>
            <a:t> </a:t>
          </a:r>
        </a:p>
        <a:p>
          <a:endParaRPr lang="fi-FI" sz="400">
            <a:latin typeface="+mj-lt"/>
          </a:endParaRPr>
        </a:p>
        <a:p>
          <a:r>
            <a:rPr lang="fi-FI" sz="1050">
              <a:latin typeface="+mj-lt"/>
            </a:rPr>
            <a:t>Laskelmapohjassa siirrytään sivulta toiselle </a:t>
          </a:r>
          <a:r>
            <a:rPr lang="fi-FI" sz="1050" b="1">
              <a:latin typeface="+mj-lt"/>
            </a:rPr>
            <a:t>valitsemalla</a:t>
          </a:r>
          <a:r>
            <a:rPr lang="fi-FI" sz="1050" b="1" baseline="0">
              <a:latin typeface="+mj-lt"/>
            </a:rPr>
            <a:t> sivu</a:t>
          </a:r>
          <a:r>
            <a:rPr lang="fi-FI" sz="1050" baseline="0">
              <a:latin typeface="+mj-lt"/>
            </a:rPr>
            <a:t> klikkaamalla hiiren vasemmalla painikkeella sivun alalaidasta (kuva 2). </a:t>
          </a:r>
        </a:p>
        <a:p>
          <a:r>
            <a:rPr lang="fi-FI" sz="1050" baseline="0">
              <a:latin typeface="+mj-lt"/>
            </a:rPr>
            <a:t>Laskelmapohja on suojattu, joten sitä on turvallista käyttää. Täydennä tarvittavat tiedot </a:t>
          </a:r>
          <a:r>
            <a:rPr lang="fi-FI" sz="1100" b="1">
              <a:solidFill>
                <a:schemeClr val="accent4">
                  <a:lumMod val="50000"/>
                </a:schemeClr>
              </a:solidFill>
              <a:effectLst/>
              <a:latin typeface="+mj-lt"/>
              <a:ea typeface="+mn-ea"/>
              <a:cs typeface="+mn-cs"/>
            </a:rPr>
            <a:t>keltaisiin soluihin</a:t>
          </a:r>
          <a:r>
            <a:rPr lang="fi-FI" sz="1050" baseline="0">
              <a:latin typeface="+mj-lt"/>
            </a:rPr>
            <a:t>. Kriittisissä kohdissa laskelma </a:t>
          </a:r>
          <a:r>
            <a:rPr lang="fi-FI" sz="1050" baseline="0">
              <a:solidFill>
                <a:srgbClr val="FF0000"/>
              </a:solidFill>
              <a:latin typeface="+mj-lt"/>
            </a:rPr>
            <a:t>varoittaa</a:t>
          </a:r>
          <a:r>
            <a:rPr lang="fi-FI" sz="1050" baseline="0">
              <a:latin typeface="+mj-lt"/>
            </a:rPr>
            <a:t>, mikäli laskelmaan merkitty tieto on ristiriidassa muihin lähtötietoihin (kuva 3). Katso lisää ohjeita sivulla </a:t>
          </a:r>
          <a:r>
            <a:rPr lang="fi-FI" sz="1050" i="1" baseline="0">
              <a:latin typeface="+mj-lt"/>
            </a:rPr>
            <a:t>Ohje</a:t>
          </a:r>
          <a:r>
            <a:rPr lang="fi-FI" sz="1050" i="0" baseline="0">
              <a:latin typeface="+mj-lt"/>
            </a:rPr>
            <a:t>.</a:t>
          </a:r>
          <a:endParaRPr lang="fi-FI" sz="1050">
            <a:latin typeface="+mj-lt"/>
          </a:endParaRPr>
        </a:p>
      </xdr:txBody>
    </xdr:sp>
    <xdr:clientData/>
  </xdr:twoCellAnchor>
  <xdr:twoCellAnchor>
    <xdr:from>
      <xdr:col>18</xdr:col>
      <xdr:colOff>142876</xdr:colOff>
      <xdr:row>19</xdr:row>
      <xdr:rowOff>304801</xdr:rowOff>
    </xdr:from>
    <xdr:to>
      <xdr:col>18</xdr:col>
      <xdr:colOff>476251</xdr:colOff>
      <xdr:row>20</xdr:row>
      <xdr:rowOff>200026</xdr:rowOff>
    </xdr:to>
    <xdr:sp macro="" textlink="">
      <xdr:nvSpPr>
        <xdr:cNvPr id="10" name="Nuoli oikealle 9">
          <a:extLst>
            <a:ext uri="{FF2B5EF4-FFF2-40B4-BE49-F238E27FC236}">
              <a16:creationId xmlns:a16="http://schemas.microsoft.com/office/drawing/2014/main" id="{00000000-0008-0000-0000-00000A000000}"/>
            </a:ext>
          </a:extLst>
        </xdr:cNvPr>
        <xdr:cNvSpPr/>
      </xdr:nvSpPr>
      <xdr:spPr>
        <a:xfrm rot="2064580">
          <a:off x="13658851" y="5743576"/>
          <a:ext cx="333375" cy="209550"/>
        </a:xfrm>
        <a:prstGeom prst="rightArrow">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i-FI" sz="1100"/>
        </a:p>
      </xdr:txBody>
    </xdr:sp>
    <xdr:clientData/>
  </xdr:twoCellAnchor>
  <xdr:twoCellAnchor editAs="oneCell">
    <xdr:from>
      <xdr:col>11</xdr:col>
      <xdr:colOff>514349</xdr:colOff>
      <xdr:row>2</xdr:row>
      <xdr:rowOff>56036</xdr:rowOff>
    </xdr:from>
    <xdr:to>
      <xdr:col>23</xdr:col>
      <xdr:colOff>606228</xdr:colOff>
      <xdr:row>16</xdr:row>
      <xdr:rowOff>171450</xdr:rowOff>
    </xdr:to>
    <xdr:pic>
      <xdr:nvPicPr>
        <xdr:cNvPr id="19" name="Kuva 18">
          <a:extLst>
            <a:ext uri="{FF2B5EF4-FFF2-40B4-BE49-F238E27FC236}">
              <a16:creationId xmlns:a16="http://schemas.microsoft.com/office/drawing/2014/main" id="{00000000-0008-0000-0000-000013000000}"/>
            </a:ext>
          </a:extLst>
        </xdr:cNvPr>
        <xdr:cNvPicPr>
          <a:picLocks noChangeAspect="1"/>
        </xdr:cNvPicPr>
      </xdr:nvPicPr>
      <xdr:blipFill>
        <a:blip xmlns:r="http://schemas.openxmlformats.org/officeDocument/2006/relationships" r:embed="rId7"/>
        <a:stretch>
          <a:fillRect/>
        </a:stretch>
      </xdr:blipFill>
      <xdr:spPr>
        <a:xfrm>
          <a:off x="9696449" y="532286"/>
          <a:ext cx="7473754" cy="4134964"/>
        </a:xfrm>
        <a:prstGeom prst="rect">
          <a:avLst/>
        </a:prstGeom>
      </xdr:spPr>
    </xdr:pic>
    <xdr:clientData/>
  </xdr:twoCellAnchor>
  <xdr:twoCellAnchor editAs="oneCell">
    <xdr:from>
      <xdr:col>12</xdr:col>
      <xdr:colOff>9524</xdr:colOff>
      <xdr:row>2</xdr:row>
      <xdr:rowOff>113186</xdr:rowOff>
    </xdr:from>
    <xdr:to>
      <xdr:col>12</xdr:col>
      <xdr:colOff>647619</xdr:colOff>
      <xdr:row>4</xdr:row>
      <xdr:rowOff>17900</xdr:rowOff>
    </xdr:to>
    <xdr:pic>
      <xdr:nvPicPr>
        <xdr:cNvPr id="21" name="Kuva 20">
          <a:extLst>
            <a:ext uri="{FF2B5EF4-FFF2-40B4-BE49-F238E27FC236}">
              <a16:creationId xmlns:a16="http://schemas.microsoft.com/office/drawing/2014/main" id="{00000000-0008-0000-0000-000015000000}"/>
            </a:ext>
          </a:extLst>
        </xdr:cNvPr>
        <xdr:cNvPicPr>
          <a:picLocks noChangeAspect="1"/>
        </xdr:cNvPicPr>
      </xdr:nvPicPr>
      <xdr:blipFill>
        <a:blip xmlns:r="http://schemas.openxmlformats.org/officeDocument/2006/relationships" r:embed="rId8"/>
        <a:stretch>
          <a:fillRect/>
        </a:stretch>
      </xdr:blipFill>
      <xdr:spPr>
        <a:xfrm>
          <a:off x="9801224" y="589436"/>
          <a:ext cx="638095" cy="285714"/>
        </a:xfrm>
        <a:prstGeom prst="rect">
          <a:avLst/>
        </a:prstGeom>
      </xdr:spPr>
    </xdr:pic>
    <xdr:clientData/>
  </xdr:twoCellAnchor>
  <xdr:twoCellAnchor>
    <xdr:from>
      <xdr:col>23</xdr:col>
      <xdr:colOff>57150</xdr:colOff>
      <xdr:row>18</xdr:row>
      <xdr:rowOff>171449</xdr:rowOff>
    </xdr:from>
    <xdr:to>
      <xdr:col>23</xdr:col>
      <xdr:colOff>390525</xdr:colOff>
      <xdr:row>19</xdr:row>
      <xdr:rowOff>66674</xdr:rowOff>
    </xdr:to>
    <xdr:sp macro="" textlink="">
      <xdr:nvSpPr>
        <xdr:cNvPr id="22" name="Nuoli oikealle 21">
          <a:extLst>
            <a:ext uri="{FF2B5EF4-FFF2-40B4-BE49-F238E27FC236}">
              <a16:creationId xmlns:a16="http://schemas.microsoft.com/office/drawing/2014/main" id="{00000000-0008-0000-0000-000016000000}"/>
            </a:ext>
          </a:extLst>
        </xdr:cNvPr>
        <xdr:cNvSpPr/>
      </xdr:nvSpPr>
      <xdr:spPr>
        <a:xfrm rot="19272554">
          <a:off x="16621125" y="5295899"/>
          <a:ext cx="333375" cy="209550"/>
        </a:xfrm>
        <a:prstGeom prst="rightArrow">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i-FI" sz="1100"/>
        </a:p>
      </xdr:txBody>
    </xdr:sp>
    <xdr:clientData/>
  </xdr:twoCellAnchor>
  <xdr:twoCellAnchor>
    <xdr:from>
      <xdr:col>22</xdr:col>
      <xdr:colOff>190500</xdr:colOff>
      <xdr:row>24</xdr:row>
      <xdr:rowOff>104775</xdr:rowOff>
    </xdr:from>
    <xdr:to>
      <xdr:col>24</xdr:col>
      <xdr:colOff>0</xdr:colOff>
      <xdr:row>28</xdr:row>
      <xdr:rowOff>76200</xdr:rowOff>
    </xdr:to>
    <xdr:sp macro="" textlink="">
      <xdr:nvSpPr>
        <xdr:cNvPr id="2" name="Pyöristetty suorakulmio 1" descr="Klikkaa tästä!" title="Siirry alkuun">
          <a:hlinkClick xmlns:r="http://schemas.openxmlformats.org/officeDocument/2006/relationships" r:id="rId9"/>
          <a:extLst>
            <a:ext uri="{FF2B5EF4-FFF2-40B4-BE49-F238E27FC236}">
              <a16:creationId xmlns:a16="http://schemas.microsoft.com/office/drawing/2014/main" id="{00000000-0008-0000-0000-000002000000}"/>
            </a:ext>
          </a:extLst>
        </xdr:cNvPr>
        <xdr:cNvSpPr/>
      </xdr:nvSpPr>
      <xdr:spPr>
        <a:xfrm>
          <a:off x="16144875" y="7115175"/>
          <a:ext cx="1028700" cy="733425"/>
        </a:xfrm>
        <a:prstGeom prst="roundRect">
          <a:avLst/>
        </a:prstGeom>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fi-FI" sz="1600"/>
            <a:t>Siirry alkuun</a:t>
          </a:r>
        </a:p>
      </xdr:txBody>
    </xdr:sp>
    <xdr:clientData/>
  </xdr:twoCellAnchor>
  <xdr:twoCellAnchor editAs="oneCell">
    <xdr:from>
      <xdr:col>0</xdr:col>
      <xdr:colOff>228600</xdr:colOff>
      <xdr:row>0</xdr:row>
      <xdr:rowOff>0</xdr:rowOff>
    </xdr:from>
    <xdr:to>
      <xdr:col>1</xdr:col>
      <xdr:colOff>1104900</xdr:colOff>
      <xdr:row>0</xdr:row>
      <xdr:rowOff>339138</xdr:rowOff>
    </xdr:to>
    <xdr:pic>
      <xdr:nvPicPr>
        <xdr:cNvPr id="25" name="Kuva 24">
          <a:extLst>
            <a:ext uri="{FF2B5EF4-FFF2-40B4-BE49-F238E27FC236}">
              <a16:creationId xmlns:a16="http://schemas.microsoft.com/office/drawing/2014/main" id="{00000000-0008-0000-0000-000019000000}"/>
            </a:ext>
          </a:extLst>
        </xdr:cNvPr>
        <xdr:cNvPicPr>
          <a:picLocks noChangeAspect="1"/>
        </xdr:cNvPicPr>
      </xdr:nvPicPr>
      <xdr:blipFill rotWithShape="1">
        <a:blip xmlns:r="http://schemas.openxmlformats.org/officeDocument/2006/relationships" r:embed="rId10"/>
        <a:srcRect l="4914" t="19635" r="9124" b="32923"/>
        <a:stretch/>
      </xdr:blipFill>
      <xdr:spPr>
        <a:xfrm>
          <a:off x="228600" y="0"/>
          <a:ext cx="1123950" cy="339138"/>
        </a:xfrm>
        <a:prstGeom prst="rect">
          <a:avLst/>
        </a:prstGeom>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pic>
    <xdr:clientData/>
  </xdr:twoCellAnchor>
  <xdr:twoCellAnchor editAs="oneCell">
    <xdr:from>
      <xdr:col>17</xdr:col>
      <xdr:colOff>9525</xdr:colOff>
      <xdr:row>3</xdr:row>
      <xdr:rowOff>9525</xdr:rowOff>
    </xdr:from>
    <xdr:to>
      <xdr:col>18</xdr:col>
      <xdr:colOff>523875</xdr:colOff>
      <xdr:row>4</xdr:row>
      <xdr:rowOff>158163</xdr:rowOff>
    </xdr:to>
    <xdr:pic>
      <xdr:nvPicPr>
        <xdr:cNvPr id="26" name="Kuva 25">
          <a:extLst>
            <a:ext uri="{FF2B5EF4-FFF2-40B4-BE49-F238E27FC236}">
              <a16:creationId xmlns:a16="http://schemas.microsoft.com/office/drawing/2014/main" id="{00000000-0008-0000-0000-00001A000000}"/>
            </a:ext>
          </a:extLst>
        </xdr:cNvPr>
        <xdr:cNvPicPr>
          <a:picLocks noChangeAspect="1"/>
        </xdr:cNvPicPr>
      </xdr:nvPicPr>
      <xdr:blipFill rotWithShape="1">
        <a:blip xmlns:r="http://schemas.openxmlformats.org/officeDocument/2006/relationships" r:embed="rId10"/>
        <a:srcRect l="4914" t="19635" r="9124" b="32923"/>
        <a:stretch/>
      </xdr:blipFill>
      <xdr:spPr>
        <a:xfrm>
          <a:off x="12915900" y="723900"/>
          <a:ext cx="1123950" cy="339138"/>
        </a:xfrm>
        <a:prstGeom prst="rect">
          <a:avLst/>
        </a:prstGeom>
      </xdr:spPr>
    </xdr:pic>
    <xdr:clientData/>
  </xdr:twoCellAnchor>
  <xdr:twoCellAnchor editAs="oneCell">
    <xdr:from>
      <xdr:col>12</xdr:col>
      <xdr:colOff>29593</xdr:colOff>
      <xdr:row>19</xdr:row>
      <xdr:rowOff>47625</xdr:rowOff>
    </xdr:from>
    <xdr:to>
      <xdr:col>21</xdr:col>
      <xdr:colOff>103499</xdr:colOff>
      <xdr:row>19</xdr:row>
      <xdr:rowOff>199989</xdr:rowOff>
    </xdr:to>
    <xdr:pic>
      <xdr:nvPicPr>
        <xdr:cNvPr id="6" name="Kuva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11"/>
        <a:stretch>
          <a:fillRect/>
        </a:stretch>
      </xdr:blipFill>
      <xdr:spPr>
        <a:xfrm>
          <a:off x="9821293" y="5534025"/>
          <a:ext cx="5626981" cy="152364"/>
        </a:xfrm>
        <a:prstGeom prst="rect">
          <a:avLst/>
        </a:prstGeom>
      </xdr:spPr>
    </xdr:pic>
    <xdr:clientData/>
  </xdr:twoCellAnchor>
  <xdr:twoCellAnchor>
    <xdr:from>
      <xdr:col>13</xdr:col>
      <xdr:colOff>389325</xdr:colOff>
      <xdr:row>19</xdr:row>
      <xdr:rowOff>129108</xdr:rowOff>
    </xdr:from>
    <xdr:to>
      <xdr:col>14</xdr:col>
      <xdr:colOff>94050</xdr:colOff>
      <xdr:row>20</xdr:row>
      <xdr:rowOff>119583</xdr:rowOff>
    </xdr:to>
    <xdr:sp macro="" textlink="">
      <xdr:nvSpPr>
        <xdr:cNvPr id="11" name="Alanuoli 10">
          <a:extLst>
            <a:ext uri="{FF2B5EF4-FFF2-40B4-BE49-F238E27FC236}">
              <a16:creationId xmlns:a16="http://schemas.microsoft.com/office/drawing/2014/main" id="{00000000-0008-0000-0000-00000B000000}"/>
            </a:ext>
          </a:extLst>
        </xdr:cNvPr>
        <xdr:cNvSpPr/>
      </xdr:nvSpPr>
      <xdr:spPr>
        <a:xfrm rot="13358859">
          <a:off x="10857300" y="5615508"/>
          <a:ext cx="314325" cy="304800"/>
        </a:xfrm>
        <a:prstGeom prst="downArrow">
          <a:avLst/>
        </a:prstGeom>
      </xdr:spPr>
      <xdr:style>
        <a:lnRef idx="0">
          <a:schemeClr val="accent5"/>
        </a:lnRef>
        <a:fillRef idx="3">
          <a:schemeClr val="accent5"/>
        </a:fillRef>
        <a:effectRef idx="3">
          <a:schemeClr val="accent5"/>
        </a:effectRef>
        <a:fontRef idx="minor">
          <a:schemeClr val="lt1"/>
        </a:fontRef>
      </xdr:style>
      <xdr:txBody>
        <a:bodyPr vertOverflow="clip" horzOverflow="clip" rtlCol="0" anchor="t"/>
        <a:lstStyle/>
        <a:p>
          <a:pPr algn="l"/>
          <a:endParaRPr lang="fi-FI" sz="11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18</xdr:col>
      <xdr:colOff>0</xdr:colOff>
      <xdr:row>47</xdr:row>
      <xdr:rowOff>80962</xdr:rowOff>
    </xdr:from>
    <xdr:to>
      <xdr:col>27</xdr:col>
      <xdr:colOff>9525</xdr:colOff>
      <xdr:row>67</xdr:row>
      <xdr:rowOff>9526</xdr:rowOff>
    </xdr:to>
    <xdr:graphicFrame macro="">
      <xdr:nvGraphicFramePr>
        <xdr:cNvPr id="2" name="Kaavio 1">
          <a:extLst>
            <a:ext uri="{FF2B5EF4-FFF2-40B4-BE49-F238E27FC236}">
              <a16:creationId xmlns:a16="http://schemas.microsoft.com/office/drawing/2014/main" id="{00000000-0008-0000-0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23</xdr:col>
      <xdr:colOff>657225</xdr:colOff>
      <xdr:row>49</xdr:row>
      <xdr:rowOff>85725</xdr:rowOff>
    </xdr:from>
    <xdr:to>
      <xdr:col>26</xdr:col>
      <xdr:colOff>638175</xdr:colOff>
      <xdr:row>52</xdr:row>
      <xdr:rowOff>123825</xdr:rowOff>
    </xdr:to>
    <xdr:sp macro="" textlink="">
      <xdr:nvSpPr>
        <xdr:cNvPr id="5" name="Tekstiruutu 4">
          <a:extLst>
            <a:ext uri="{FF2B5EF4-FFF2-40B4-BE49-F238E27FC236}">
              <a16:creationId xmlns:a16="http://schemas.microsoft.com/office/drawing/2014/main" id="{00000000-0008-0000-0900-000005000000}"/>
            </a:ext>
          </a:extLst>
        </xdr:cNvPr>
        <xdr:cNvSpPr txBox="1"/>
      </xdr:nvSpPr>
      <xdr:spPr>
        <a:xfrm>
          <a:off x="15154275" y="10096500"/>
          <a:ext cx="2124075" cy="609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fi-FI" sz="1100">
              <a:latin typeface="+mj-lt"/>
            </a:rPr>
            <a:t>Vertaile omaa laskelmaa hyvää ja erinomaista tulosta tekevän tilan tuotantokustannukseen</a:t>
          </a:r>
        </a:p>
      </xdr:txBody>
    </xdr:sp>
    <xdr:clientData/>
  </xdr:twoCellAnchor>
  <xdr:twoCellAnchor>
    <xdr:from>
      <xdr:col>22</xdr:col>
      <xdr:colOff>704850</xdr:colOff>
      <xdr:row>0</xdr:row>
      <xdr:rowOff>28575</xdr:rowOff>
    </xdr:from>
    <xdr:to>
      <xdr:col>25</xdr:col>
      <xdr:colOff>9525</xdr:colOff>
      <xdr:row>1</xdr:row>
      <xdr:rowOff>85725</xdr:rowOff>
    </xdr:to>
    <xdr:sp macro="" textlink="">
      <xdr:nvSpPr>
        <xdr:cNvPr id="6" name="Nuoli oikealle 5">
          <a:hlinkClick xmlns:r="http://schemas.openxmlformats.org/officeDocument/2006/relationships" r:id="rId2"/>
          <a:extLst>
            <a:ext uri="{FF2B5EF4-FFF2-40B4-BE49-F238E27FC236}">
              <a16:creationId xmlns:a16="http://schemas.microsoft.com/office/drawing/2014/main" id="{00000000-0008-0000-0900-000006000000}"/>
            </a:ext>
          </a:extLst>
        </xdr:cNvPr>
        <xdr:cNvSpPr/>
      </xdr:nvSpPr>
      <xdr:spPr>
        <a:xfrm>
          <a:off x="14354175" y="28575"/>
          <a:ext cx="1447800" cy="352425"/>
        </a:xfrm>
        <a:prstGeom prst="rightArrow">
          <a:avLst/>
        </a:prstGeom>
        <a:solidFill>
          <a:schemeClr val="accent4">
            <a:lumMod val="75000"/>
          </a:schemeClr>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fi-FI" sz="1100"/>
            <a:t>Laskelmien vertailu</a:t>
          </a:r>
        </a:p>
      </xdr:txBody>
    </xdr:sp>
    <xdr:clientData/>
  </xdr:twoCellAnchor>
  <xdr:twoCellAnchor>
    <xdr:from>
      <xdr:col>39</xdr:col>
      <xdr:colOff>3305175</xdr:colOff>
      <xdr:row>0</xdr:row>
      <xdr:rowOff>47625</xdr:rowOff>
    </xdr:from>
    <xdr:to>
      <xdr:col>39</xdr:col>
      <xdr:colOff>4772025</xdr:colOff>
      <xdr:row>1</xdr:row>
      <xdr:rowOff>66675</xdr:rowOff>
    </xdr:to>
    <xdr:sp macro="" textlink="">
      <xdr:nvSpPr>
        <xdr:cNvPr id="9" name="Nuoli vasemmalle 8">
          <a:hlinkClick xmlns:r="http://schemas.openxmlformats.org/officeDocument/2006/relationships" r:id="rId3"/>
          <a:extLst>
            <a:ext uri="{FF2B5EF4-FFF2-40B4-BE49-F238E27FC236}">
              <a16:creationId xmlns:a16="http://schemas.microsoft.com/office/drawing/2014/main" id="{00000000-0008-0000-0900-000009000000}"/>
            </a:ext>
          </a:extLst>
        </xdr:cNvPr>
        <xdr:cNvSpPr/>
      </xdr:nvSpPr>
      <xdr:spPr>
        <a:xfrm>
          <a:off x="25879425" y="47625"/>
          <a:ext cx="1466850" cy="314325"/>
        </a:xfrm>
        <a:prstGeom prst="leftArrow">
          <a:avLst/>
        </a:prstGeom>
        <a:solidFill>
          <a:srgbClr val="FF66FF"/>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i-FI" sz="1100"/>
            <a:t>Palaa alkuun</a:t>
          </a:r>
        </a:p>
      </xdr:txBody>
    </xdr:sp>
    <xdr:clientData/>
  </xdr:twoCellAnchor>
  <xdr:twoCellAnchor>
    <xdr:from>
      <xdr:col>22</xdr:col>
      <xdr:colOff>161925</xdr:colOff>
      <xdr:row>0</xdr:row>
      <xdr:rowOff>47625</xdr:rowOff>
    </xdr:from>
    <xdr:to>
      <xdr:col>22</xdr:col>
      <xdr:colOff>561975</xdr:colOff>
      <xdr:row>0</xdr:row>
      <xdr:rowOff>304801</xdr:rowOff>
    </xdr:to>
    <xdr:sp macro="" textlink="">
      <xdr:nvSpPr>
        <xdr:cNvPr id="11" name="Alanuoli 10">
          <a:hlinkClick xmlns:r="http://schemas.openxmlformats.org/officeDocument/2006/relationships" r:id="rId4"/>
          <a:extLst>
            <a:ext uri="{FF2B5EF4-FFF2-40B4-BE49-F238E27FC236}">
              <a16:creationId xmlns:a16="http://schemas.microsoft.com/office/drawing/2014/main" id="{00000000-0008-0000-0900-00000B000000}"/>
            </a:ext>
          </a:extLst>
        </xdr:cNvPr>
        <xdr:cNvSpPr/>
      </xdr:nvSpPr>
      <xdr:spPr>
        <a:xfrm>
          <a:off x="13944600" y="47625"/>
          <a:ext cx="400050" cy="257176"/>
        </a:xfrm>
        <a:prstGeom prst="downArrow">
          <a:avLst/>
        </a:prstGeom>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i-FI" sz="1100"/>
        </a:p>
      </xdr:txBody>
    </xdr:sp>
    <xdr:clientData/>
  </xdr:twoCellAnchor>
  <xdr:twoCellAnchor>
    <xdr:from>
      <xdr:col>14</xdr:col>
      <xdr:colOff>581024</xdr:colOff>
      <xdr:row>3</xdr:row>
      <xdr:rowOff>19049</xdr:rowOff>
    </xdr:from>
    <xdr:to>
      <xdr:col>17</xdr:col>
      <xdr:colOff>123824</xdr:colOff>
      <xdr:row>10</xdr:row>
      <xdr:rowOff>238125</xdr:rowOff>
    </xdr:to>
    <xdr:graphicFrame macro="">
      <xdr:nvGraphicFramePr>
        <xdr:cNvPr id="15" name="Kaavio 14">
          <a:extLst>
            <a:ext uri="{FF2B5EF4-FFF2-40B4-BE49-F238E27FC236}">
              <a16:creationId xmlns:a16="http://schemas.microsoft.com/office/drawing/2014/main" id="{00000000-0008-0000-0900-00000F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171450</xdr:colOff>
      <xdr:row>47</xdr:row>
      <xdr:rowOff>66675</xdr:rowOff>
    </xdr:from>
    <xdr:to>
      <xdr:col>17</xdr:col>
      <xdr:colOff>9525</xdr:colOff>
      <xdr:row>67</xdr:row>
      <xdr:rowOff>9525</xdr:rowOff>
    </xdr:to>
    <xdr:graphicFrame macro="">
      <xdr:nvGraphicFramePr>
        <xdr:cNvPr id="3" name="Kaavio 2">
          <a:extLst>
            <a:ext uri="{FF2B5EF4-FFF2-40B4-BE49-F238E27FC236}">
              <a16:creationId xmlns:a16="http://schemas.microsoft.com/office/drawing/2014/main" id="{00000000-0008-0000-09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39</xdr:col>
      <xdr:colOff>0</xdr:colOff>
      <xdr:row>11</xdr:row>
      <xdr:rowOff>38100</xdr:rowOff>
    </xdr:from>
    <xdr:to>
      <xdr:col>40</xdr:col>
      <xdr:colOff>0</xdr:colOff>
      <xdr:row>27</xdr:row>
      <xdr:rowOff>0</xdr:rowOff>
    </xdr:to>
    <xdr:sp macro="" textlink="" fLocksText="0">
      <xdr:nvSpPr>
        <xdr:cNvPr id="14" name="Tekstiruutu 13">
          <a:extLst>
            <a:ext uri="{FF2B5EF4-FFF2-40B4-BE49-F238E27FC236}">
              <a16:creationId xmlns:a16="http://schemas.microsoft.com/office/drawing/2014/main" id="{00000000-0008-0000-0900-00000E000000}"/>
            </a:ext>
          </a:extLst>
        </xdr:cNvPr>
        <xdr:cNvSpPr txBox="1"/>
      </xdr:nvSpPr>
      <xdr:spPr>
        <a:xfrm>
          <a:off x="22317075" y="2495550"/>
          <a:ext cx="4800600" cy="3228975"/>
        </a:xfrm>
        <a:prstGeom prst="rect">
          <a:avLst/>
        </a:prstGeom>
        <a:solidFill>
          <a:srgbClr val="FFFF99"/>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lang="fi-FI" sz="1100">
            <a:latin typeface="+mj-lt"/>
          </a:endParaRPr>
        </a:p>
      </xdr:txBody>
    </xdr:sp>
    <xdr:clientData/>
  </xdr:twoCellAnchor>
  <xdr:twoCellAnchor>
    <xdr:from>
      <xdr:col>39</xdr:col>
      <xdr:colOff>0</xdr:colOff>
      <xdr:row>27</xdr:row>
      <xdr:rowOff>38101</xdr:rowOff>
    </xdr:from>
    <xdr:to>
      <xdr:col>40</xdr:col>
      <xdr:colOff>0</xdr:colOff>
      <xdr:row>33</xdr:row>
      <xdr:rowOff>190501</xdr:rowOff>
    </xdr:to>
    <xdr:sp macro="" textlink="" fLocksText="0">
      <xdr:nvSpPr>
        <xdr:cNvPr id="16" name="Tekstiruutu 15">
          <a:extLst>
            <a:ext uri="{FF2B5EF4-FFF2-40B4-BE49-F238E27FC236}">
              <a16:creationId xmlns:a16="http://schemas.microsoft.com/office/drawing/2014/main" id="{00000000-0008-0000-0900-000010000000}"/>
            </a:ext>
          </a:extLst>
        </xdr:cNvPr>
        <xdr:cNvSpPr txBox="1"/>
      </xdr:nvSpPr>
      <xdr:spPr>
        <a:xfrm>
          <a:off x="22317075" y="5762626"/>
          <a:ext cx="4800600" cy="1304925"/>
        </a:xfrm>
        <a:prstGeom prst="rect">
          <a:avLst/>
        </a:prstGeom>
        <a:solidFill>
          <a:srgbClr val="FFFF99"/>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lang="fi-FI" sz="1100">
            <a:latin typeface="+mj-lt"/>
          </a:endParaRPr>
        </a:p>
      </xdr:txBody>
    </xdr:sp>
    <xdr:clientData/>
  </xdr:twoCellAnchor>
  <xdr:twoCellAnchor>
    <xdr:from>
      <xdr:col>39</xdr:col>
      <xdr:colOff>0</xdr:colOff>
      <xdr:row>34</xdr:row>
      <xdr:rowOff>9525</xdr:rowOff>
    </xdr:from>
    <xdr:to>
      <xdr:col>40</xdr:col>
      <xdr:colOff>0</xdr:colOff>
      <xdr:row>45</xdr:row>
      <xdr:rowOff>171449</xdr:rowOff>
    </xdr:to>
    <xdr:sp macro="" textlink="" fLocksText="0">
      <xdr:nvSpPr>
        <xdr:cNvPr id="17" name="Tekstiruutu 16">
          <a:extLst>
            <a:ext uri="{FF2B5EF4-FFF2-40B4-BE49-F238E27FC236}">
              <a16:creationId xmlns:a16="http://schemas.microsoft.com/office/drawing/2014/main" id="{00000000-0008-0000-0900-000011000000}"/>
            </a:ext>
          </a:extLst>
        </xdr:cNvPr>
        <xdr:cNvSpPr txBox="1"/>
      </xdr:nvSpPr>
      <xdr:spPr>
        <a:xfrm>
          <a:off x="22317075" y="7096125"/>
          <a:ext cx="4800600" cy="2514599"/>
        </a:xfrm>
        <a:prstGeom prst="rect">
          <a:avLst/>
        </a:prstGeom>
        <a:solidFill>
          <a:srgbClr val="FFFF99"/>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lang="fi-FI" sz="1100">
            <a:latin typeface="+mj-lt"/>
          </a:endParaRPr>
        </a:p>
      </xdr:txBody>
    </xdr:sp>
    <xdr:clientData/>
  </xdr:twoCellAnchor>
  <xdr:twoCellAnchor>
    <xdr:from>
      <xdr:col>36</xdr:col>
      <xdr:colOff>9525</xdr:colOff>
      <xdr:row>47</xdr:row>
      <xdr:rowOff>104774</xdr:rowOff>
    </xdr:from>
    <xdr:to>
      <xdr:col>39</xdr:col>
      <xdr:colOff>4800599</xdr:colOff>
      <xdr:row>67</xdr:row>
      <xdr:rowOff>9525</xdr:rowOff>
    </xdr:to>
    <xdr:sp macro="" textlink="" fLocksText="0">
      <xdr:nvSpPr>
        <xdr:cNvPr id="20" name="Tekstiruutu 19">
          <a:extLst>
            <a:ext uri="{FF2B5EF4-FFF2-40B4-BE49-F238E27FC236}">
              <a16:creationId xmlns:a16="http://schemas.microsoft.com/office/drawing/2014/main" id="{00000000-0008-0000-0900-000014000000}"/>
            </a:ext>
          </a:extLst>
        </xdr:cNvPr>
        <xdr:cNvSpPr txBox="1"/>
      </xdr:nvSpPr>
      <xdr:spPr>
        <a:xfrm>
          <a:off x="17726025" y="9763124"/>
          <a:ext cx="9391649" cy="3714751"/>
        </a:xfrm>
        <a:prstGeom prst="rect">
          <a:avLst/>
        </a:prstGeom>
        <a:solidFill>
          <a:srgbClr val="FFFF99"/>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lang="fi-FI" sz="1100">
            <a:latin typeface="+mj-lt"/>
          </a:endParaRPr>
        </a:p>
      </xdr:txBody>
    </xdr:sp>
    <xdr:clientData/>
  </xdr:twoCellAnchor>
  <xdr:twoCellAnchor>
    <xdr:from>
      <xdr:col>25</xdr:col>
      <xdr:colOff>361950</xdr:colOff>
      <xdr:row>78</xdr:row>
      <xdr:rowOff>9525</xdr:rowOff>
    </xdr:from>
    <xdr:to>
      <xdr:col>26</xdr:col>
      <xdr:colOff>609600</xdr:colOff>
      <xdr:row>81</xdr:row>
      <xdr:rowOff>171450</xdr:rowOff>
    </xdr:to>
    <xdr:sp macro="" textlink="">
      <xdr:nvSpPr>
        <xdr:cNvPr id="21" name="Pyöristetty suorakulmio 20" descr="Klikkaa tästä!" title="Siirry alkuun">
          <a:hlinkClick xmlns:r="http://schemas.openxmlformats.org/officeDocument/2006/relationships" r:id="rId7"/>
          <a:extLst>
            <a:ext uri="{FF2B5EF4-FFF2-40B4-BE49-F238E27FC236}">
              <a16:creationId xmlns:a16="http://schemas.microsoft.com/office/drawing/2014/main" id="{00000000-0008-0000-0900-000015000000}"/>
            </a:ext>
          </a:extLst>
        </xdr:cNvPr>
        <xdr:cNvSpPr/>
      </xdr:nvSpPr>
      <xdr:spPr>
        <a:xfrm>
          <a:off x="16154400" y="12420600"/>
          <a:ext cx="962025" cy="733425"/>
        </a:xfrm>
        <a:prstGeom prst="roundRect">
          <a:avLst/>
        </a:prstGeom>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fi-FI" sz="1600"/>
            <a:t>Siirry alkuun</a:t>
          </a:r>
        </a:p>
      </xdr:txBody>
    </xdr:sp>
    <xdr:clientData/>
  </xdr:twoCellAnchor>
  <xdr:twoCellAnchor>
    <xdr:from>
      <xdr:col>22</xdr:col>
      <xdr:colOff>523875</xdr:colOff>
      <xdr:row>78</xdr:row>
      <xdr:rowOff>19050</xdr:rowOff>
    </xdr:from>
    <xdr:to>
      <xdr:col>25</xdr:col>
      <xdr:colOff>180975</xdr:colOff>
      <xdr:row>81</xdr:row>
      <xdr:rowOff>180975</xdr:rowOff>
    </xdr:to>
    <xdr:sp macro="" textlink="">
      <xdr:nvSpPr>
        <xdr:cNvPr id="22" name="Pyöristetty suorakulmio 21" descr="Klikkaa tästä!" title="Siirry alkuun">
          <a:hlinkClick xmlns:r="http://schemas.openxmlformats.org/officeDocument/2006/relationships" r:id="rId8"/>
          <a:extLst>
            <a:ext uri="{FF2B5EF4-FFF2-40B4-BE49-F238E27FC236}">
              <a16:creationId xmlns:a16="http://schemas.microsoft.com/office/drawing/2014/main" id="{00000000-0008-0000-0900-000016000000}"/>
            </a:ext>
          </a:extLst>
        </xdr:cNvPr>
        <xdr:cNvSpPr/>
      </xdr:nvSpPr>
      <xdr:spPr>
        <a:xfrm>
          <a:off x="14173200" y="12430125"/>
          <a:ext cx="1800225" cy="733425"/>
        </a:xfrm>
        <a:prstGeom prst="roundRect">
          <a:avLst/>
        </a:prstGeom>
        <a:solidFill>
          <a:srgbClr val="98F20F"/>
        </a:solidFill>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fi-FI" sz="1800"/>
            <a:t>Lähtötiedot</a:t>
          </a:r>
          <a:endParaRPr lang="fi-FI" sz="1400"/>
        </a:p>
      </xdr:txBody>
    </xdr:sp>
    <xdr:clientData/>
  </xdr:twoCellAnchor>
  <xdr:twoCellAnchor editAs="oneCell">
    <xdr:from>
      <xdr:col>1</xdr:col>
      <xdr:colOff>0</xdr:colOff>
      <xdr:row>0</xdr:row>
      <xdr:rowOff>0</xdr:rowOff>
    </xdr:from>
    <xdr:to>
      <xdr:col>3</xdr:col>
      <xdr:colOff>228600</xdr:colOff>
      <xdr:row>0</xdr:row>
      <xdr:rowOff>339138</xdr:rowOff>
    </xdr:to>
    <xdr:pic>
      <xdr:nvPicPr>
        <xdr:cNvPr id="23" name="Kuva 22">
          <a:extLst>
            <a:ext uri="{FF2B5EF4-FFF2-40B4-BE49-F238E27FC236}">
              <a16:creationId xmlns:a16="http://schemas.microsoft.com/office/drawing/2014/main" id="{00000000-0008-0000-0900-000017000000}"/>
            </a:ext>
          </a:extLst>
        </xdr:cNvPr>
        <xdr:cNvPicPr>
          <a:picLocks noChangeAspect="1"/>
        </xdr:cNvPicPr>
      </xdr:nvPicPr>
      <xdr:blipFill rotWithShape="1">
        <a:blip xmlns:r="http://schemas.openxmlformats.org/officeDocument/2006/relationships" r:embed="rId9"/>
        <a:srcRect l="4914" t="19635" r="9124" b="32923"/>
        <a:stretch/>
      </xdr:blipFill>
      <xdr:spPr>
        <a:xfrm>
          <a:off x="180975" y="0"/>
          <a:ext cx="1123950" cy="339138"/>
        </a:xfrm>
        <a:prstGeom prst="rect">
          <a:avLst/>
        </a:prstGeom>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pic>
    <xdr:clientData/>
  </xdr:twoCellAnchor>
  <xdr:twoCellAnchor>
    <xdr:from>
      <xdr:col>21</xdr:col>
      <xdr:colOff>28575</xdr:colOff>
      <xdr:row>2</xdr:row>
      <xdr:rowOff>19051</xdr:rowOff>
    </xdr:from>
    <xdr:to>
      <xdr:col>26</xdr:col>
      <xdr:colOff>685800</xdr:colOff>
      <xdr:row>8</xdr:row>
      <xdr:rowOff>0</xdr:rowOff>
    </xdr:to>
    <xdr:sp macro="" textlink="">
      <xdr:nvSpPr>
        <xdr:cNvPr id="24" name="Tekstiruutu 23">
          <a:extLst>
            <a:ext uri="{FF2B5EF4-FFF2-40B4-BE49-F238E27FC236}">
              <a16:creationId xmlns:a16="http://schemas.microsoft.com/office/drawing/2014/main" id="{00000000-0008-0000-0900-000018000000}"/>
            </a:ext>
          </a:extLst>
        </xdr:cNvPr>
        <xdr:cNvSpPr txBox="1"/>
      </xdr:nvSpPr>
      <xdr:spPr>
        <a:xfrm>
          <a:off x="13096875" y="542926"/>
          <a:ext cx="4229100" cy="1304924"/>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050">
              <a:latin typeface="+mj-lt"/>
            </a:rPr>
            <a:t>Tällä</a:t>
          </a:r>
          <a:r>
            <a:rPr lang="fi-FI" sz="1050" baseline="0">
              <a:latin typeface="+mj-lt"/>
            </a:rPr>
            <a:t> sivulla lasketaan emolehmän yhdistelmätuotannon tuotantokustannus + uudistus</a:t>
          </a:r>
        </a:p>
        <a:p>
          <a:r>
            <a:rPr lang="fi-FI" sz="900" baseline="0">
              <a:latin typeface="+mj-lt"/>
            </a:rPr>
            <a:t>   Yhdistelmätuotannon tuotantokustannus on laskelmassa esitetty myös säilörehun </a:t>
          </a:r>
        </a:p>
        <a:p>
          <a:r>
            <a:rPr lang="fi-FI" sz="900" baseline="0">
              <a:latin typeface="+mj-lt"/>
            </a:rPr>
            <a:t>   markkinahinnalla laskettuna, joka paljastaa rehuntuotannon kalleuden/edullisuuden</a:t>
          </a:r>
        </a:p>
        <a:p>
          <a:pPr marL="0" marR="0" lvl="0" indent="0" defTabSz="914400" eaLnBrk="1" fontAlgn="auto" latinLnBrk="0" hangingPunct="1">
            <a:lnSpc>
              <a:spcPct val="100000"/>
            </a:lnSpc>
            <a:spcBef>
              <a:spcPts val="0"/>
            </a:spcBef>
            <a:spcAft>
              <a:spcPts val="0"/>
            </a:spcAft>
            <a:buClrTx/>
            <a:buSzTx/>
            <a:buFontTx/>
            <a:buNone/>
            <a:tabLst/>
            <a:defRPr/>
          </a:pPr>
          <a:r>
            <a:rPr lang="fi-FI" sz="900" baseline="0">
              <a:latin typeface="+mj-lt"/>
            </a:rPr>
            <a:t>1. Muuta tarvittaessa lähtötietoja (vihreä solu) </a:t>
          </a:r>
        </a:p>
        <a:p>
          <a:pPr marL="0" marR="0" lvl="0" indent="0" defTabSz="914400" eaLnBrk="1" fontAlgn="auto" latinLnBrk="0" hangingPunct="1">
            <a:lnSpc>
              <a:spcPct val="100000"/>
            </a:lnSpc>
            <a:spcBef>
              <a:spcPts val="0"/>
            </a:spcBef>
            <a:spcAft>
              <a:spcPts val="0"/>
            </a:spcAft>
            <a:buClrTx/>
            <a:buSzTx/>
            <a:buFontTx/>
            <a:buNone/>
            <a:tabLst/>
            <a:defRPr/>
          </a:pPr>
          <a:r>
            <a:rPr lang="fi-FI" sz="900">
              <a:solidFill>
                <a:schemeClr val="dk1"/>
              </a:solidFill>
              <a:effectLst/>
              <a:latin typeface="+mj-lt"/>
              <a:ea typeface="+mn-ea"/>
              <a:cs typeface="+mn-cs"/>
            </a:rPr>
            <a:t>      - Toimenpide poistaa automaattisen</a:t>
          </a:r>
          <a:r>
            <a:rPr lang="fi-FI" sz="900" baseline="0">
              <a:solidFill>
                <a:schemeClr val="dk1"/>
              </a:solidFill>
              <a:effectLst/>
              <a:latin typeface="+mj-lt"/>
              <a:ea typeface="+mn-ea"/>
              <a:cs typeface="+mn-cs"/>
            </a:rPr>
            <a:t> kaavan, joten </a:t>
          </a:r>
          <a:r>
            <a:rPr lang="fi-FI" sz="900">
              <a:solidFill>
                <a:schemeClr val="dk1"/>
              </a:solidFill>
              <a:effectLst/>
              <a:latin typeface="+mj-lt"/>
              <a:ea typeface="+mn-ea"/>
              <a:cs typeface="+mn-cs"/>
            </a:rPr>
            <a:t>tallenna ensin eri versiona.</a:t>
          </a:r>
          <a:endParaRPr lang="fi-FI" sz="900">
            <a:effectLst/>
            <a:latin typeface="+mj-lt"/>
          </a:endParaRPr>
        </a:p>
        <a:p>
          <a:r>
            <a:rPr lang="fi-FI" sz="900" baseline="0">
              <a:latin typeface="+mj-lt"/>
            </a:rPr>
            <a:t>2. Vertaile yhdistelmätuotannon tuotantokustannusta (hyvä, erinomainen)</a:t>
          </a:r>
        </a:p>
        <a:p>
          <a:r>
            <a:rPr lang="fi-FI" sz="900" baseline="0">
              <a:latin typeface="+mj-lt"/>
            </a:rPr>
            <a:t>3. Pohdi millä toimenpiteillä kustannuksia voidaan alentaa?</a:t>
          </a:r>
          <a:endParaRPr lang="fi-FI" sz="900">
            <a:latin typeface="+mj-lt"/>
          </a:endParaRPr>
        </a:p>
      </xdr:txBody>
    </xdr:sp>
    <xdr:clientData/>
  </xdr:twoCellAnchor>
  <xdr:twoCellAnchor>
    <xdr:from>
      <xdr:col>36</xdr:col>
      <xdr:colOff>9524</xdr:colOff>
      <xdr:row>2</xdr:row>
      <xdr:rowOff>238125</xdr:rowOff>
    </xdr:from>
    <xdr:to>
      <xdr:col>37</xdr:col>
      <xdr:colOff>2447924</xdr:colOff>
      <xdr:row>7</xdr:row>
      <xdr:rowOff>104775</xdr:rowOff>
    </xdr:to>
    <xdr:sp macro="" textlink="">
      <xdr:nvSpPr>
        <xdr:cNvPr id="25" name="Tekstiruutu 24">
          <a:extLst>
            <a:ext uri="{FF2B5EF4-FFF2-40B4-BE49-F238E27FC236}">
              <a16:creationId xmlns:a16="http://schemas.microsoft.com/office/drawing/2014/main" id="{00000000-0008-0000-0900-000019000000}"/>
            </a:ext>
          </a:extLst>
        </xdr:cNvPr>
        <xdr:cNvSpPr txBox="1"/>
      </xdr:nvSpPr>
      <xdr:spPr>
        <a:xfrm>
          <a:off x="17726024" y="762000"/>
          <a:ext cx="4410075" cy="990600"/>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100" baseline="0">
              <a:solidFill>
                <a:schemeClr val="dk1"/>
              </a:solidFill>
              <a:effectLst/>
              <a:latin typeface="+mj-lt"/>
              <a:ea typeface="+mn-ea"/>
              <a:cs typeface="+mn-cs"/>
            </a:rPr>
            <a:t>Vertaile yhdistelmätuotannon tuotantokustannusta (hyvä, erinomainen)</a:t>
          </a:r>
          <a:endParaRPr lang="fi-FI" sz="1000">
            <a:effectLst/>
            <a:latin typeface="+mj-lt"/>
          </a:endParaRPr>
        </a:p>
      </xdr:txBody>
    </xdr:sp>
    <xdr:clientData/>
  </xdr:twoCellAnchor>
  <xdr:twoCellAnchor>
    <xdr:from>
      <xdr:col>39</xdr:col>
      <xdr:colOff>9524</xdr:colOff>
      <xdr:row>2</xdr:row>
      <xdr:rowOff>238125</xdr:rowOff>
    </xdr:from>
    <xdr:to>
      <xdr:col>40</xdr:col>
      <xdr:colOff>0</xdr:colOff>
      <xdr:row>7</xdr:row>
      <xdr:rowOff>104775</xdr:rowOff>
    </xdr:to>
    <xdr:sp macro="" textlink="">
      <xdr:nvSpPr>
        <xdr:cNvPr id="26" name="Tekstiruutu 25">
          <a:extLst>
            <a:ext uri="{FF2B5EF4-FFF2-40B4-BE49-F238E27FC236}">
              <a16:creationId xmlns:a16="http://schemas.microsoft.com/office/drawing/2014/main" id="{00000000-0008-0000-0900-00001A000000}"/>
            </a:ext>
          </a:extLst>
        </xdr:cNvPr>
        <xdr:cNvSpPr txBox="1"/>
      </xdr:nvSpPr>
      <xdr:spPr>
        <a:xfrm>
          <a:off x="22326599" y="762000"/>
          <a:ext cx="4791076" cy="990600"/>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lang="fi-FI" sz="1100" baseline="0">
              <a:solidFill>
                <a:schemeClr val="dk1"/>
              </a:solidFill>
              <a:effectLst/>
              <a:latin typeface="+mj-lt"/>
              <a:ea typeface="+mn-ea"/>
              <a:cs typeface="+mn-cs"/>
            </a:rPr>
            <a:t>Pohdi millä toimenpiteillä kustannuksia voidaan alentaa?</a:t>
          </a:r>
        </a:p>
      </xdr:txBody>
    </xdr:sp>
    <xdr:clientData/>
  </xdr:twoCellAnchor>
  <xdr:twoCellAnchor>
    <xdr:from>
      <xdr:col>7</xdr:col>
      <xdr:colOff>0</xdr:colOff>
      <xdr:row>38</xdr:row>
      <xdr:rowOff>0</xdr:rowOff>
    </xdr:from>
    <xdr:to>
      <xdr:col>9</xdr:col>
      <xdr:colOff>9525</xdr:colOff>
      <xdr:row>46</xdr:row>
      <xdr:rowOff>0</xdr:rowOff>
    </xdr:to>
    <xdr:sp macro="" textlink="">
      <xdr:nvSpPr>
        <xdr:cNvPr id="27" name="Tekstiruutu 26">
          <a:extLst>
            <a:ext uri="{FF2B5EF4-FFF2-40B4-BE49-F238E27FC236}">
              <a16:creationId xmlns:a16="http://schemas.microsoft.com/office/drawing/2014/main" id="{00000000-0008-0000-0900-00001B000000}"/>
            </a:ext>
          </a:extLst>
        </xdr:cNvPr>
        <xdr:cNvSpPr txBox="1"/>
      </xdr:nvSpPr>
      <xdr:spPr>
        <a:xfrm>
          <a:off x="3933825" y="7905750"/>
          <a:ext cx="1571625" cy="1562100"/>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050">
              <a:latin typeface="+mj-lt"/>
            </a:rPr>
            <a:t>Vertaile katetuottoja</a:t>
          </a:r>
          <a:r>
            <a:rPr lang="fi-FI" sz="1050" baseline="0">
              <a:latin typeface="+mj-lt"/>
            </a:rPr>
            <a:t> hyvää ja erinomaista tulosta tekeviin tiloihin.</a:t>
          </a:r>
        </a:p>
        <a:p>
          <a:endParaRPr lang="fi-FI" sz="1050" baseline="0">
            <a:latin typeface="+mj-lt"/>
          </a:endParaRPr>
        </a:p>
        <a:p>
          <a:r>
            <a:rPr lang="fi-FI" sz="1050" baseline="0">
              <a:latin typeface="+mj-lt"/>
            </a:rPr>
            <a:t>Miten oman tilan tulos pärjää vertailussa?</a:t>
          </a:r>
        </a:p>
        <a:p>
          <a:endParaRPr lang="fi-FI" sz="1050" baseline="0">
            <a:latin typeface="+mj-lt"/>
          </a:endParaRPr>
        </a:p>
        <a:p>
          <a:r>
            <a:rPr lang="fi-FI" sz="1050" baseline="0">
              <a:latin typeface="+mj-lt"/>
            </a:rPr>
            <a:t>Selvitä mistä erot johtuvat?</a:t>
          </a:r>
          <a:endParaRPr lang="fi-FI" sz="900">
            <a:latin typeface="+mj-lt"/>
          </a:endParaRPr>
        </a:p>
      </xdr:txBody>
    </xdr:sp>
    <xdr:clientData/>
  </xdr:twoCellAnchor>
  <xdr:twoCellAnchor>
    <xdr:from>
      <xdr:col>0</xdr:col>
      <xdr:colOff>161925</xdr:colOff>
      <xdr:row>47</xdr:row>
      <xdr:rowOff>76200</xdr:rowOff>
    </xdr:from>
    <xdr:to>
      <xdr:col>9</xdr:col>
      <xdr:colOff>9526</xdr:colOff>
      <xdr:row>67</xdr:row>
      <xdr:rowOff>0</xdr:rowOff>
    </xdr:to>
    <xdr:graphicFrame macro="">
      <xdr:nvGraphicFramePr>
        <xdr:cNvPr id="28" name="Kaavio 27">
          <a:extLst>
            <a:ext uri="{FF2B5EF4-FFF2-40B4-BE49-F238E27FC236}">
              <a16:creationId xmlns:a16="http://schemas.microsoft.com/office/drawing/2014/main" id="{00000000-0008-0000-0900-00001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xdr:col>
      <xdr:colOff>0</xdr:colOff>
      <xdr:row>68</xdr:row>
      <xdr:rowOff>0</xdr:rowOff>
    </xdr:from>
    <xdr:to>
      <xdr:col>9</xdr:col>
      <xdr:colOff>0</xdr:colOff>
      <xdr:row>76</xdr:row>
      <xdr:rowOff>47625</xdr:rowOff>
    </xdr:to>
    <xdr:sp macro="" textlink="" fLocksText="0">
      <xdr:nvSpPr>
        <xdr:cNvPr id="29" name="Tekstiruutu 28">
          <a:extLst>
            <a:ext uri="{FF2B5EF4-FFF2-40B4-BE49-F238E27FC236}">
              <a16:creationId xmlns:a16="http://schemas.microsoft.com/office/drawing/2014/main" id="{00000000-0008-0000-0900-00001D000000}"/>
            </a:ext>
          </a:extLst>
        </xdr:cNvPr>
        <xdr:cNvSpPr txBox="1"/>
      </xdr:nvSpPr>
      <xdr:spPr>
        <a:xfrm>
          <a:off x="180975" y="13658850"/>
          <a:ext cx="5314950" cy="1571625"/>
        </a:xfrm>
        <a:prstGeom prst="rect">
          <a:avLst/>
        </a:prstGeom>
        <a:solidFill>
          <a:srgbClr val="FFFF99"/>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lang="fi-FI" sz="1100">
            <a:latin typeface="+mj-lt"/>
          </a:endParaRPr>
        </a:p>
      </xdr:txBody>
    </xdr:sp>
    <xdr:clientData/>
  </xdr:twoCellAnchor>
  <xdr:twoCellAnchor>
    <xdr:from>
      <xdr:col>9</xdr:col>
      <xdr:colOff>180974</xdr:colOff>
      <xdr:row>68</xdr:row>
      <xdr:rowOff>0</xdr:rowOff>
    </xdr:from>
    <xdr:to>
      <xdr:col>17</xdr:col>
      <xdr:colOff>9524</xdr:colOff>
      <xdr:row>76</xdr:row>
      <xdr:rowOff>47625</xdr:rowOff>
    </xdr:to>
    <xdr:sp macro="" textlink="" fLocksText="0">
      <xdr:nvSpPr>
        <xdr:cNvPr id="30" name="Tekstiruutu 29">
          <a:extLst>
            <a:ext uri="{FF2B5EF4-FFF2-40B4-BE49-F238E27FC236}">
              <a16:creationId xmlns:a16="http://schemas.microsoft.com/office/drawing/2014/main" id="{00000000-0008-0000-0900-00001E000000}"/>
            </a:ext>
          </a:extLst>
        </xdr:cNvPr>
        <xdr:cNvSpPr txBox="1"/>
      </xdr:nvSpPr>
      <xdr:spPr>
        <a:xfrm>
          <a:off x="5676899" y="13658850"/>
          <a:ext cx="5476875" cy="1571625"/>
        </a:xfrm>
        <a:prstGeom prst="rect">
          <a:avLst/>
        </a:prstGeom>
        <a:solidFill>
          <a:srgbClr val="FFFF99"/>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lang="fi-FI" sz="1100">
            <a:latin typeface="+mj-lt"/>
          </a:endParaRPr>
        </a:p>
      </xdr:txBody>
    </xdr:sp>
    <xdr:clientData/>
  </xdr:twoCellAnchor>
  <xdr:twoCellAnchor>
    <xdr:from>
      <xdr:col>18</xdr:col>
      <xdr:colOff>0</xdr:colOff>
      <xdr:row>68</xdr:row>
      <xdr:rowOff>0</xdr:rowOff>
    </xdr:from>
    <xdr:to>
      <xdr:col>27</xdr:col>
      <xdr:colOff>28575</xdr:colOff>
      <xdr:row>76</xdr:row>
      <xdr:rowOff>47625</xdr:rowOff>
    </xdr:to>
    <xdr:sp macro="" textlink="" fLocksText="0">
      <xdr:nvSpPr>
        <xdr:cNvPr id="31" name="Tekstiruutu 30">
          <a:extLst>
            <a:ext uri="{FF2B5EF4-FFF2-40B4-BE49-F238E27FC236}">
              <a16:creationId xmlns:a16="http://schemas.microsoft.com/office/drawing/2014/main" id="{00000000-0008-0000-0900-00001F000000}"/>
            </a:ext>
          </a:extLst>
        </xdr:cNvPr>
        <xdr:cNvSpPr txBox="1"/>
      </xdr:nvSpPr>
      <xdr:spPr>
        <a:xfrm>
          <a:off x="11325225" y="13658850"/>
          <a:ext cx="6057900" cy="1571625"/>
        </a:xfrm>
        <a:prstGeom prst="rect">
          <a:avLst/>
        </a:prstGeom>
        <a:solidFill>
          <a:srgbClr val="FFFF99"/>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lang="fi-FI" sz="1100">
            <a:latin typeface="+mj-lt"/>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18</xdr:col>
      <xdr:colOff>0</xdr:colOff>
      <xdr:row>47</xdr:row>
      <xdr:rowOff>80962</xdr:rowOff>
    </xdr:from>
    <xdr:to>
      <xdr:col>27</xdr:col>
      <xdr:colOff>9525</xdr:colOff>
      <xdr:row>67</xdr:row>
      <xdr:rowOff>9526</xdr:rowOff>
    </xdr:to>
    <xdr:graphicFrame macro="">
      <xdr:nvGraphicFramePr>
        <xdr:cNvPr id="2" name="Kaavio 1">
          <a:extLst>
            <a:ext uri="{FF2B5EF4-FFF2-40B4-BE49-F238E27FC236}">
              <a16:creationId xmlns:a16="http://schemas.microsoft.com/office/drawing/2014/main" id="{00000000-0008-0000-0A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23</xdr:col>
      <xdr:colOff>657225</xdr:colOff>
      <xdr:row>49</xdr:row>
      <xdr:rowOff>85725</xdr:rowOff>
    </xdr:from>
    <xdr:to>
      <xdr:col>26</xdr:col>
      <xdr:colOff>638175</xdr:colOff>
      <xdr:row>52</xdr:row>
      <xdr:rowOff>123825</xdr:rowOff>
    </xdr:to>
    <xdr:sp macro="" textlink="">
      <xdr:nvSpPr>
        <xdr:cNvPr id="4" name="Tekstiruutu 3">
          <a:extLst>
            <a:ext uri="{FF2B5EF4-FFF2-40B4-BE49-F238E27FC236}">
              <a16:creationId xmlns:a16="http://schemas.microsoft.com/office/drawing/2014/main" id="{00000000-0008-0000-0A00-000004000000}"/>
            </a:ext>
          </a:extLst>
        </xdr:cNvPr>
        <xdr:cNvSpPr txBox="1"/>
      </xdr:nvSpPr>
      <xdr:spPr>
        <a:xfrm>
          <a:off x="15154275" y="10096500"/>
          <a:ext cx="2124075" cy="609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fi-FI" sz="1100">
              <a:latin typeface="+mj-lt"/>
            </a:rPr>
            <a:t>Vertaile omaa laskelmaa hyvää ja erinomaista tulosta tekevän tilan tuotantokustannukseen</a:t>
          </a:r>
        </a:p>
      </xdr:txBody>
    </xdr:sp>
    <xdr:clientData/>
  </xdr:twoCellAnchor>
  <xdr:twoCellAnchor>
    <xdr:from>
      <xdr:col>22</xdr:col>
      <xdr:colOff>704850</xdr:colOff>
      <xdr:row>0</xdr:row>
      <xdr:rowOff>28575</xdr:rowOff>
    </xdr:from>
    <xdr:to>
      <xdr:col>25</xdr:col>
      <xdr:colOff>9525</xdr:colOff>
      <xdr:row>1</xdr:row>
      <xdr:rowOff>85725</xdr:rowOff>
    </xdr:to>
    <xdr:sp macro="" textlink="">
      <xdr:nvSpPr>
        <xdr:cNvPr id="5" name="Nuoli oikealle 4">
          <a:hlinkClick xmlns:r="http://schemas.openxmlformats.org/officeDocument/2006/relationships" r:id="rId2"/>
          <a:extLst>
            <a:ext uri="{FF2B5EF4-FFF2-40B4-BE49-F238E27FC236}">
              <a16:creationId xmlns:a16="http://schemas.microsoft.com/office/drawing/2014/main" id="{00000000-0008-0000-0A00-000005000000}"/>
            </a:ext>
          </a:extLst>
        </xdr:cNvPr>
        <xdr:cNvSpPr/>
      </xdr:nvSpPr>
      <xdr:spPr>
        <a:xfrm>
          <a:off x="14487525" y="28575"/>
          <a:ext cx="1447800" cy="371475"/>
        </a:xfrm>
        <a:prstGeom prst="rightArrow">
          <a:avLst/>
        </a:prstGeom>
        <a:solidFill>
          <a:schemeClr val="accent4">
            <a:lumMod val="75000"/>
          </a:schemeClr>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fi-FI" sz="1100"/>
            <a:t>Laskelmien vertailu</a:t>
          </a:r>
        </a:p>
      </xdr:txBody>
    </xdr:sp>
    <xdr:clientData/>
  </xdr:twoCellAnchor>
  <xdr:twoCellAnchor>
    <xdr:from>
      <xdr:col>39</xdr:col>
      <xdr:colOff>3305175</xdr:colOff>
      <xdr:row>0</xdr:row>
      <xdr:rowOff>47625</xdr:rowOff>
    </xdr:from>
    <xdr:to>
      <xdr:col>39</xdr:col>
      <xdr:colOff>4772025</xdr:colOff>
      <xdr:row>1</xdr:row>
      <xdr:rowOff>66675</xdr:rowOff>
    </xdr:to>
    <xdr:sp macro="" textlink="">
      <xdr:nvSpPr>
        <xdr:cNvPr id="6" name="Nuoli vasemmalle 5">
          <a:hlinkClick xmlns:r="http://schemas.openxmlformats.org/officeDocument/2006/relationships" r:id="rId3"/>
          <a:extLst>
            <a:ext uri="{FF2B5EF4-FFF2-40B4-BE49-F238E27FC236}">
              <a16:creationId xmlns:a16="http://schemas.microsoft.com/office/drawing/2014/main" id="{00000000-0008-0000-0A00-000006000000}"/>
            </a:ext>
          </a:extLst>
        </xdr:cNvPr>
        <xdr:cNvSpPr/>
      </xdr:nvSpPr>
      <xdr:spPr>
        <a:xfrm>
          <a:off x="25622250" y="47625"/>
          <a:ext cx="1466850" cy="333375"/>
        </a:xfrm>
        <a:prstGeom prst="leftArrow">
          <a:avLst/>
        </a:prstGeom>
        <a:solidFill>
          <a:srgbClr val="FF66FF"/>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i-FI" sz="1100"/>
            <a:t>Palaa alkuun</a:t>
          </a:r>
        </a:p>
      </xdr:txBody>
    </xdr:sp>
    <xdr:clientData/>
  </xdr:twoCellAnchor>
  <xdr:twoCellAnchor>
    <xdr:from>
      <xdr:col>22</xdr:col>
      <xdr:colOff>180975</xdr:colOff>
      <xdr:row>0</xdr:row>
      <xdr:rowOff>28575</xdr:rowOff>
    </xdr:from>
    <xdr:to>
      <xdr:col>22</xdr:col>
      <xdr:colOff>581025</xdr:colOff>
      <xdr:row>0</xdr:row>
      <xdr:rowOff>323851</xdr:rowOff>
    </xdr:to>
    <xdr:sp macro="" textlink="">
      <xdr:nvSpPr>
        <xdr:cNvPr id="8" name="Alanuoli 7">
          <a:hlinkClick xmlns:r="http://schemas.openxmlformats.org/officeDocument/2006/relationships" r:id="rId4"/>
          <a:extLst>
            <a:ext uri="{FF2B5EF4-FFF2-40B4-BE49-F238E27FC236}">
              <a16:creationId xmlns:a16="http://schemas.microsoft.com/office/drawing/2014/main" id="{00000000-0008-0000-0A00-000008000000}"/>
            </a:ext>
          </a:extLst>
        </xdr:cNvPr>
        <xdr:cNvSpPr/>
      </xdr:nvSpPr>
      <xdr:spPr>
        <a:xfrm>
          <a:off x="13963650" y="28575"/>
          <a:ext cx="400050" cy="295276"/>
        </a:xfrm>
        <a:prstGeom prst="downArrow">
          <a:avLst/>
        </a:prstGeom>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i-FI" sz="1100"/>
        </a:p>
      </xdr:txBody>
    </xdr:sp>
    <xdr:clientData/>
  </xdr:twoCellAnchor>
  <xdr:twoCellAnchor>
    <xdr:from>
      <xdr:col>14</xdr:col>
      <xdr:colOff>581024</xdr:colOff>
      <xdr:row>3</xdr:row>
      <xdr:rowOff>19049</xdr:rowOff>
    </xdr:from>
    <xdr:to>
      <xdr:col>17</xdr:col>
      <xdr:colOff>123824</xdr:colOff>
      <xdr:row>10</xdr:row>
      <xdr:rowOff>238125</xdr:rowOff>
    </xdr:to>
    <xdr:graphicFrame macro="">
      <xdr:nvGraphicFramePr>
        <xdr:cNvPr id="9" name="Kaavio 8">
          <a:extLst>
            <a:ext uri="{FF2B5EF4-FFF2-40B4-BE49-F238E27FC236}">
              <a16:creationId xmlns:a16="http://schemas.microsoft.com/office/drawing/2014/main" id="{00000000-0008-0000-0A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171450</xdr:colOff>
      <xdr:row>47</xdr:row>
      <xdr:rowOff>66675</xdr:rowOff>
    </xdr:from>
    <xdr:to>
      <xdr:col>17</xdr:col>
      <xdr:colOff>9525</xdr:colOff>
      <xdr:row>67</xdr:row>
      <xdr:rowOff>9525</xdr:rowOff>
    </xdr:to>
    <xdr:graphicFrame macro="">
      <xdr:nvGraphicFramePr>
        <xdr:cNvPr id="10" name="Kaavio 9">
          <a:extLst>
            <a:ext uri="{FF2B5EF4-FFF2-40B4-BE49-F238E27FC236}">
              <a16:creationId xmlns:a16="http://schemas.microsoft.com/office/drawing/2014/main" id="{00000000-0008-0000-0A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39</xdr:col>
      <xdr:colOff>0</xdr:colOff>
      <xdr:row>11</xdr:row>
      <xdr:rowOff>38100</xdr:rowOff>
    </xdr:from>
    <xdr:to>
      <xdr:col>40</xdr:col>
      <xdr:colOff>0</xdr:colOff>
      <xdr:row>27</xdr:row>
      <xdr:rowOff>0</xdr:rowOff>
    </xdr:to>
    <xdr:sp macro="" textlink="" fLocksText="0">
      <xdr:nvSpPr>
        <xdr:cNvPr id="12" name="Tekstiruutu 11">
          <a:extLst>
            <a:ext uri="{FF2B5EF4-FFF2-40B4-BE49-F238E27FC236}">
              <a16:creationId xmlns:a16="http://schemas.microsoft.com/office/drawing/2014/main" id="{00000000-0008-0000-0A00-00000C000000}"/>
            </a:ext>
          </a:extLst>
        </xdr:cNvPr>
        <xdr:cNvSpPr txBox="1"/>
      </xdr:nvSpPr>
      <xdr:spPr>
        <a:xfrm>
          <a:off x="22317075" y="2495550"/>
          <a:ext cx="4800600" cy="3228975"/>
        </a:xfrm>
        <a:prstGeom prst="rect">
          <a:avLst/>
        </a:prstGeom>
        <a:solidFill>
          <a:srgbClr val="FFFF99"/>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lang="fi-FI" sz="1100">
            <a:latin typeface="+mj-lt"/>
          </a:endParaRPr>
        </a:p>
      </xdr:txBody>
    </xdr:sp>
    <xdr:clientData/>
  </xdr:twoCellAnchor>
  <xdr:twoCellAnchor>
    <xdr:from>
      <xdr:col>39</xdr:col>
      <xdr:colOff>0</xdr:colOff>
      <xdr:row>27</xdr:row>
      <xdr:rowOff>38101</xdr:rowOff>
    </xdr:from>
    <xdr:to>
      <xdr:col>40</xdr:col>
      <xdr:colOff>0</xdr:colOff>
      <xdr:row>33</xdr:row>
      <xdr:rowOff>190501</xdr:rowOff>
    </xdr:to>
    <xdr:sp macro="" textlink="" fLocksText="0">
      <xdr:nvSpPr>
        <xdr:cNvPr id="13" name="Tekstiruutu 12">
          <a:extLst>
            <a:ext uri="{FF2B5EF4-FFF2-40B4-BE49-F238E27FC236}">
              <a16:creationId xmlns:a16="http://schemas.microsoft.com/office/drawing/2014/main" id="{00000000-0008-0000-0A00-00000D000000}"/>
            </a:ext>
          </a:extLst>
        </xdr:cNvPr>
        <xdr:cNvSpPr txBox="1"/>
      </xdr:nvSpPr>
      <xdr:spPr>
        <a:xfrm>
          <a:off x="22317075" y="5762626"/>
          <a:ext cx="4800600" cy="1304925"/>
        </a:xfrm>
        <a:prstGeom prst="rect">
          <a:avLst/>
        </a:prstGeom>
        <a:solidFill>
          <a:srgbClr val="FFFF99"/>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lang="fi-FI" sz="1100">
            <a:latin typeface="+mj-lt"/>
          </a:endParaRPr>
        </a:p>
      </xdr:txBody>
    </xdr:sp>
    <xdr:clientData/>
  </xdr:twoCellAnchor>
  <xdr:twoCellAnchor>
    <xdr:from>
      <xdr:col>39</xdr:col>
      <xdr:colOff>0</xdr:colOff>
      <xdr:row>34</xdr:row>
      <xdr:rowOff>9525</xdr:rowOff>
    </xdr:from>
    <xdr:to>
      <xdr:col>40</xdr:col>
      <xdr:colOff>0</xdr:colOff>
      <xdr:row>45</xdr:row>
      <xdr:rowOff>171449</xdr:rowOff>
    </xdr:to>
    <xdr:sp macro="" textlink="" fLocksText="0">
      <xdr:nvSpPr>
        <xdr:cNvPr id="14" name="Tekstiruutu 13">
          <a:extLst>
            <a:ext uri="{FF2B5EF4-FFF2-40B4-BE49-F238E27FC236}">
              <a16:creationId xmlns:a16="http://schemas.microsoft.com/office/drawing/2014/main" id="{00000000-0008-0000-0A00-00000E000000}"/>
            </a:ext>
          </a:extLst>
        </xdr:cNvPr>
        <xdr:cNvSpPr txBox="1"/>
      </xdr:nvSpPr>
      <xdr:spPr>
        <a:xfrm>
          <a:off x="22317075" y="7096125"/>
          <a:ext cx="4800600" cy="2324099"/>
        </a:xfrm>
        <a:prstGeom prst="rect">
          <a:avLst/>
        </a:prstGeom>
        <a:solidFill>
          <a:srgbClr val="FFFF99"/>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lang="fi-FI" sz="1100">
            <a:latin typeface="+mj-lt"/>
          </a:endParaRPr>
        </a:p>
      </xdr:txBody>
    </xdr:sp>
    <xdr:clientData/>
  </xdr:twoCellAnchor>
  <xdr:twoCellAnchor>
    <xdr:from>
      <xdr:col>36</xdr:col>
      <xdr:colOff>1</xdr:colOff>
      <xdr:row>47</xdr:row>
      <xdr:rowOff>104774</xdr:rowOff>
    </xdr:from>
    <xdr:to>
      <xdr:col>40</xdr:col>
      <xdr:colOff>0</xdr:colOff>
      <xdr:row>67</xdr:row>
      <xdr:rowOff>9525</xdr:rowOff>
    </xdr:to>
    <xdr:sp macro="" textlink="" fLocksText="0">
      <xdr:nvSpPr>
        <xdr:cNvPr id="17" name="Tekstiruutu 16">
          <a:extLst>
            <a:ext uri="{FF2B5EF4-FFF2-40B4-BE49-F238E27FC236}">
              <a16:creationId xmlns:a16="http://schemas.microsoft.com/office/drawing/2014/main" id="{00000000-0008-0000-0A00-000011000000}"/>
            </a:ext>
          </a:extLst>
        </xdr:cNvPr>
        <xdr:cNvSpPr txBox="1"/>
      </xdr:nvSpPr>
      <xdr:spPr>
        <a:xfrm>
          <a:off x="17716501" y="9763124"/>
          <a:ext cx="9401174" cy="3714751"/>
        </a:xfrm>
        <a:prstGeom prst="rect">
          <a:avLst/>
        </a:prstGeom>
        <a:solidFill>
          <a:srgbClr val="FFFF99"/>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lang="fi-FI" sz="1100">
            <a:latin typeface="+mj-lt"/>
          </a:endParaRPr>
        </a:p>
      </xdr:txBody>
    </xdr:sp>
    <xdr:clientData/>
  </xdr:twoCellAnchor>
  <xdr:twoCellAnchor>
    <xdr:from>
      <xdr:col>25</xdr:col>
      <xdr:colOff>361950</xdr:colOff>
      <xdr:row>78</xdr:row>
      <xdr:rowOff>9525</xdr:rowOff>
    </xdr:from>
    <xdr:to>
      <xdr:col>26</xdr:col>
      <xdr:colOff>609600</xdr:colOff>
      <xdr:row>81</xdr:row>
      <xdr:rowOff>171450</xdr:rowOff>
    </xdr:to>
    <xdr:sp macro="" textlink="">
      <xdr:nvSpPr>
        <xdr:cNvPr id="18" name="Pyöristetty suorakulmio 17" descr="Klikkaa tästä!" title="Siirry alkuun">
          <a:hlinkClick xmlns:r="http://schemas.openxmlformats.org/officeDocument/2006/relationships" r:id="rId7"/>
          <a:extLst>
            <a:ext uri="{FF2B5EF4-FFF2-40B4-BE49-F238E27FC236}">
              <a16:creationId xmlns:a16="http://schemas.microsoft.com/office/drawing/2014/main" id="{00000000-0008-0000-0A00-000012000000}"/>
            </a:ext>
          </a:extLst>
        </xdr:cNvPr>
        <xdr:cNvSpPr/>
      </xdr:nvSpPr>
      <xdr:spPr>
        <a:xfrm>
          <a:off x="16287750" y="13830300"/>
          <a:ext cx="962025" cy="733425"/>
        </a:xfrm>
        <a:prstGeom prst="roundRect">
          <a:avLst/>
        </a:prstGeom>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fi-FI" sz="1600"/>
            <a:t>Siirry alkuun</a:t>
          </a:r>
        </a:p>
      </xdr:txBody>
    </xdr:sp>
    <xdr:clientData/>
  </xdr:twoCellAnchor>
  <xdr:twoCellAnchor>
    <xdr:from>
      <xdr:col>22</xdr:col>
      <xdr:colOff>523875</xdr:colOff>
      <xdr:row>78</xdr:row>
      <xdr:rowOff>19050</xdr:rowOff>
    </xdr:from>
    <xdr:to>
      <xdr:col>25</xdr:col>
      <xdr:colOff>180975</xdr:colOff>
      <xdr:row>81</xdr:row>
      <xdr:rowOff>180975</xdr:rowOff>
    </xdr:to>
    <xdr:sp macro="" textlink="">
      <xdr:nvSpPr>
        <xdr:cNvPr id="19" name="Pyöristetty suorakulmio 18" descr="Klikkaa tästä!" title="Siirry alkuun">
          <a:hlinkClick xmlns:r="http://schemas.openxmlformats.org/officeDocument/2006/relationships" r:id="rId8"/>
          <a:extLst>
            <a:ext uri="{FF2B5EF4-FFF2-40B4-BE49-F238E27FC236}">
              <a16:creationId xmlns:a16="http://schemas.microsoft.com/office/drawing/2014/main" id="{00000000-0008-0000-0A00-000013000000}"/>
            </a:ext>
          </a:extLst>
        </xdr:cNvPr>
        <xdr:cNvSpPr/>
      </xdr:nvSpPr>
      <xdr:spPr>
        <a:xfrm>
          <a:off x="14306550" y="13839825"/>
          <a:ext cx="1800225" cy="733425"/>
        </a:xfrm>
        <a:prstGeom prst="roundRect">
          <a:avLst/>
        </a:prstGeom>
        <a:solidFill>
          <a:srgbClr val="98F20F"/>
        </a:solidFill>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fi-FI" sz="1800"/>
            <a:t>Lähtötiedot</a:t>
          </a:r>
          <a:endParaRPr lang="fi-FI" sz="1400"/>
        </a:p>
      </xdr:txBody>
    </xdr:sp>
    <xdr:clientData/>
  </xdr:twoCellAnchor>
  <xdr:twoCellAnchor editAs="oneCell">
    <xdr:from>
      <xdr:col>1</xdr:col>
      <xdr:colOff>0</xdr:colOff>
      <xdr:row>0</xdr:row>
      <xdr:rowOff>0</xdr:rowOff>
    </xdr:from>
    <xdr:to>
      <xdr:col>3</xdr:col>
      <xdr:colOff>228600</xdr:colOff>
      <xdr:row>0</xdr:row>
      <xdr:rowOff>339138</xdr:rowOff>
    </xdr:to>
    <xdr:pic>
      <xdr:nvPicPr>
        <xdr:cNvPr id="20" name="Kuva 19">
          <a:extLst>
            <a:ext uri="{FF2B5EF4-FFF2-40B4-BE49-F238E27FC236}">
              <a16:creationId xmlns:a16="http://schemas.microsoft.com/office/drawing/2014/main" id="{00000000-0008-0000-0A00-000014000000}"/>
            </a:ext>
          </a:extLst>
        </xdr:cNvPr>
        <xdr:cNvPicPr>
          <a:picLocks noChangeAspect="1"/>
        </xdr:cNvPicPr>
      </xdr:nvPicPr>
      <xdr:blipFill rotWithShape="1">
        <a:blip xmlns:r="http://schemas.openxmlformats.org/officeDocument/2006/relationships" r:embed="rId9"/>
        <a:srcRect l="4914" t="19635" r="9124" b="32923"/>
        <a:stretch/>
      </xdr:blipFill>
      <xdr:spPr>
        <a:xfrm>
          <a:off x="180975" y="0"/>
          <a:ext cx="1123950" cy="339138"/>
        </a:xfrm>
        <a:prstGeom prst="rect">
          <a:avLst/>
        </a:prstGeom>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pic>
    <xdr:clientData/>
  </xdr:twoCellAnchor>
  <xdr:twoCellAnchor>
    <xdr:from>
      <xdr:col>21</xdr:col>
      <xdr:colOff>28575</xdr:colOff>
      <xdr:row>2</xdr:row>
      <xdr:rowOff>19051</xdr:rowOff>
    </xdr:from>
    <xdr:to>
      <xdr:col>26</xdr:col>
      <xdr:colOff>685800</xdr:colOff>
      <xdr:row>8</xdr:row>
      <xdr:rowOff>0</xdr:rowOff>
    </xdr:to>
    <xdr:sp macro="" textlink="">
      <xdr:nvSpPr>
        <xdr:cNvPr id="24" name="Tekstiruutu 23">
          <a:extLst>
            <a:ext uri="{FF2B5EF4-FFF2-40B4-BE49-F238E27FC236}">
              <a16:creationId xmlns:a16="http://schemas.microsoft.com/office/drawing/2014/main" id="{00000000-0008-0000-0A00-000018000000}"/>
            </a:ext>
          </a:extLst>
        </xdr:cNvPr>
        <xdr:cNvSpPr txBox="1"/>
      </xdr:nvSpPr>
      <xdr:spPr>
        <a:xfrm>
          <a:off x="13096875" y="542926"/>
          <a:ext cx="4229100" cy="1304924"/>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050">
              <a:latin typeface="+mj-lt"/>
            </a:rPr>
            <a:t>Tällä</a:t>
          </a:r>
          <a:r>
            <a:rPr lang="fi-FI" sz="1050" baseline="0">
              <a:latin typeface="+mj-lt"/>
            </a:rPr>
            <a:t> sivulla lasketaan emolehmän pihvivasikkatuotannon tuotantokustannus + uudistus</a:t>
          </a:r>
        </a:p>
        <a:p>
          <a:r>
            <a:rPr lang="fi-FI" sz="900" baseline="0">
              <a:latin typeface="+mj-lt"/>
            </a:rPr>
            <a:t>   Pihvivasikkatuotannon tuotantokustannus on laskelmassa esitetty myös säilörehun </a:t>
          </a:r>
        </a:p>
        <a:p>
          <a:r>
            <a:rPr lang="fi-FI" sz="900" baseline="0">
              <a:latin typeface="+mj-lt"/>
            </a:rPr>
            <a:t>   markkinahinnalla laskettuna, joka paljastaa rehuntuotannon kalleuden/edullisuuden</a:t>
          </a:r>
        </a:p>
        <a:p>
          <a:pPr marL="0" marR="0" lvl="0" indent="0" defTabSz="914400" eaLnBrk="1" fontAlgn="auto" latinLnBrk="0" hangingPunct="1">
            <a:lnSpc>
              <a:spcPct val="100000"/>
            </a:lnSpc>
            <a:spcBef>
              <a:spcPts val="0"/>
            </a:spcBef>
            <a:spcAft>
              <a:spcPts val="0"/>
            </a:spcAft>
            <a:buClrTx/>
            <a:buSzTx/>
            <a:buFontTx/>
            <a:buNone/>
            <a:tabLst/>
            <a:defRPr/>
          </a:pPr>
          <a:r>
            <a:rPr lang="fi-FI" sz="900" baseline="0">
              <a:latin typeface="+mj-lt"/>
            </a:rPr>
            <a:t>1. Muuta tarvittaessa lähtötietoja (vihreä solu) </a:t>
          </a:r>
        </a:p>
        <a:p>
          <a:pPr marL="0" marR="0" lvl="0" indent="0" defTabSz="914400" eaLnBrk="1" fontAlgn="auto" latinLnBrk="0" hangingPunct="1">
            <a:lnSpc>
              <a:spcPct val="100000"/>
            </a:lnSpc>
            <a:spcBef>
              <a:spcPts val="0"/>
            </a:spcBef>
            <a:spcAft>
              <a:spcPts val="0"/>
            </a:spcAft>
            <a:buClrTx/>
            <a:buSzTx/>
            <a:buFontTx/>
            <a:buNone/>
            <a:tabLst/>
            <a:defRPr/>
          </a:pPr>
          <a:r>
            <a:rPr lang="fi-FI" sz="900">
              <a:solidFill>
                <a:schemeClr val="dk1"/>
              </a:solidFill>
              <a:effectLst/>
              <a:latin typeface="+mj-lt"/>
              <a:ea typeface="+mn-ea"/>
              <a:cs typeface="+mn-cs"/>
            </a:rPr>
            <a:t>      - Toimenpide poistaa automaattisen</a:t>
          </a:r>
          <a:r>
            <a:rPr lang="fi-FI" sz="900" baseline="0">
              <a:solidFill>
                <a:schemeClr val="dk1"/>
              </a:solidFill>
              <a:effectLst/>
              <a:latin typeface="+mj-lt"/>
              <a:ea typeface="+mn-ea"/>
              <a:cs typeface="+mn-cs"/>
            </a:rPr>
            <a:t> kaavan, joten </a:t>
          </a:r>
          <a:r>
            <a:rPr lang="fi-FI" sz="900">
              <a:solidFill>
                <a:schemeClr val="dk1"/>
              </a:solidFill>
              <a:effectLst/>
              <a:latin typeface="+mj-lt"/>
              <a:ea typeface="+mn-ea"/>
              <a:cs typeface="+mn-cs"/>
            </a:rPr>
            <a:t>tallenna ensin eri versiona.</a:t>
          </a:r>
          <a:endParaRPr lang="fi-FI" sz="900">
            <a:effectLst/>
            <a:latin typeface="+mj-lt"/>
          </a:endParaRPr>
        </a:p>
        <a:p>
          <a:r>
            <a:rPr lang="fi-FI" sz="900" baseline="0">
              <a:latin typeface="+mj-lt"/>
            </a:rPr>
            <a:t>2. Vertaile yhdistelmätuotannon tuotantokustannusta (hyvä, erinomainen)</a:t>
          </a:r>
        </a:p>
        <a:p>
          <a:r>
            <a:rPr lang="fi-FI" sz="900" baseline="0">
              <a:latin typeface="+mj-lt"/>
            </a:rPr>
            <a:t>3. Pohdi millä toimenpiteillä kustannuksia voidaan alentaa?</a:t>
          </a:r>
          <a:endParaRPr lang="fi-FI" sz="900">
            <a:latin typeface="+mj-lt"/>
          </a:endParaRPr>
        </a:p>
      </xdr:txBody>
    </xdr:sp>
    <xdr:clientData/>
  </xdr:twoCellAnchor>
  <xdr:twoCellAnchor>
    <xdr:from>
      <xdr:col>35</xdr:col>
      <xdr:colOff>180974</xdr:colOff>
      <xdr:row>3</xdr:row>
      <xdr:rowOff>0</xdr:rowOff>
    </xdr:from>
    <xdr:to>
      <xdr:col>37</xdr:col>
      <xdr:colOff>2438399</xdr:colOff>
      <xdr:row>7</xdr:row>
      <xdr:rowOff>114300</xdr:rowOff>
    </xdr:to>
    <xdr:sp macro="" textlink="">
      <xdr:nvSpPr>
        <xdr:cNvPr id="25" name="Tekstiruutu 24">
          <a:extLst>
            <a:ext uri="{FF2B5EF4-FFF2-40B4-BE49-F238E27FC236}">
              <a16:creationId xmlns:a16="http://schemas.microsoft.com/office/drawing/2014/main" id="{00000000-0008-0000-0A00-000019000000}"/>
            </a:ext>
          </a:extLst>
        </xdr:cNvPr>
        <xdr:cNvSpPr txBox="1"/>
      </xdr:nvSpPr>
      <xdr:spPr>
        <a:xfrm>
          <a:off x="17716499" y="771525"/>
          <a:ext cx="4410075" cy="990600"/>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100" baseline="0">
              <a:solidFill>
                <a:schemeClr val="dk1"/>
              </a:solidFill>
              <a:effectLst/>
              <a:latin typeface="+mj-lt"/>
              <a:ea typeface="+mn-ea"/>
              <a:cs typeface="+mn-cs"/>
            </a:rPr>
            <a:t>Vertaile pihvivasikkatuotannon tuotantokustannusta (hyvä, erinomainen)</a:t>
          </a:r>
          <a:endParaRPr lang="fi-FI" sz="1000">
            <a:effectLst/>
            <a:latin typeface="+mj-lt"/>
          </a:endParaRPr>
        </a:p>
      </xdr:txBody>
    </xdr:sp>
    <xdr:clientData/>
  </xdr:twoCellAnchor>
  <xdr:twoCellAnchor>
    <xdr:from>
      <xdr:col>39</xdr:col>
      <xdr:colOff>9524</xdr:colOff>
      <xdr:row>2</xdr:row>
      <xdr:rowOff>238125</xdr:rowOff>
    </xdr:from>
    <xdr:to>
      <xdr:col>40</xdr:col>
      <xdr:colOff>0</xdr:colOff>
      <xdr:row>7</xdr:row>
      <xdr:rowOff>104775</xdr:rowOff>
    </xdr:to>
    <xdr:sp macro="" textlink="">
      <xdr:nvSpPr>
        <xdr:cNvPr id="26" name="Tekstiruutu 25">
          <a:extLst>
            <a:ext uri="{FF2B5EF4-FFF2-40B4-BE49-F238E27FC236}">
              <a16:creationId xmlns:a16="http://schemas.microsoft.com/office/drawing/2014/main" id="{00000000-0008-0000-0A00-00001A000000}"/>
            </a:ext>
          </a:extLst>
        </xdr:cNvPr>
        <xdr:cNvSpPr txBox="1"/>
      </xdr:nvSpPr>
      <xdr:spPr>
        <a:xfrm>
          <a:off x="22326599" y="762000"/>
          <a:ext cx="4791076" cy="990600"/>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lang="fi-FI" sz="1100" baseline="0">
              <a:solidFill>
                <a:schemeClr val="dk1"/>
              </a:solidFill>
              <a:effectLst/>
              <a:latin typeface="+mj-lt"/>
              <a:ea typeface="+mn-ea"/>
              <a:cs typeface="+mn-cs"/>
            </a:rPr>
            <a:t>Pohdi millä toimenpiteillä kustannuksia voidaan alentaa?</a:t>
          </a:r>
        </a:p>
      </xdr:txBody>
    </xdr:sp>
    <xdr:clientData/>
  </xdr:twoCellAnchor>
  <xdr:twoCellAnchor>
    <xdr:from>
      <xdr:col>7</xdr:col>
      <xdr:colOff>0</xdr:colOff>
      <xdr:row>38</xdr:row>
      <xdr:rowOff>0</xdr:rowOff>
    </xdr:from>
    <xdr:to>
      <xdr:col>9</xdr:col>
      <xdr:colOff>9525</xdr:colOff>
      <xdr:row>46</xdr:row>
      <xdr:rowOff>0</xdr:rowOff>
    </xdr:to>
    <xdr:sp macro="" textlink="">
      <xdr:nvSpPr>
        <xdr:cNvPr id="21" name="Tekstiruutu 20">
          <a:extLst>
            <a:ext uri="{FF2B5EF4-FFF2-40B4-BE49-F238E27FC236}">
              <a16:creationId xmlns:a16="http://schemas.microsoft.com/office/drawing/2014/main" id="{00000000-0008-0000-0A00-000015000000}"/>
            </a:ext>
          </a:extLst>
        </xdr:cNvPr>
        <xdr:cNvSpPr txBox="1"/>
      </xdr:nvSpPr>
      <xdr:spPr>
        <a:xfrm>
          <a:off x="3933825" y="7905750"/>
          <a:ext cx="1571625" cy="1562100"/>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050">
              <a:latin typeface="+mj-lt"/>
            </a:rPr>
            <a:t>Vertaile katetuottoja</a:t>
          </a:r>
          <a:r>
            <a:rPr lang="fi-FI" sz="1050" baseline="0">
              <a:latin typeface="+mj-lt"/>
            </a:rPr>
            <a:t> hyvää ja erinomaista tulosta tekeviin tiloihin.</a:t>
          </a:r>
        </a:p>
        <a:p>
          <a:endParaRPr lang="fi-FI" sz="1050" baseline="0">
            <a:latin typeface="+mj-lt"/>
          </a:endParaRPr>
        </a:p>
        <a:p>
          <a:r>
            <a:rPr lang="fi-FI" sz="1050" baseline="0">
              <a:latin typeface="+mj-lt"/>
            </a:rPr>
            <a:t>Miten oman tilan tulos pärjää vertailussa?</a:t>
          </a:r>
        </a:p>
        <a:p>
          <a:endParaRPr lang="fi-FI" sz="1050" baseline="0">
            <a:latin typeface="+mj-lt"/>
          </a:endParaRPr>
        </a:p>
        <a:p>
          <a:r>
            <a:rPr lang="fi-FI" sz="1050" baseline="0">
              <a:latin typeface="+mj-lt"/>
            </a:rPr>
            <a:t>Selvitä mistä erot johtuvat?</a:t>
          </a:r>
          <a:endParaRPr lang="fi-FI" sz="900">
            <a:latin typeface="+mj-lt"/>
          </a:endParaRPr>
        </a:p>
      </xdr:txBody>
    </xdr:sp>
    <xdr:clientData/>
  </xdr:twoCellAnchor>
  <xdr:twoCellAnchor>
    <xdr:from>
      <xdr:col>0</xdr:col>
      <xdr:colOff>161925</xdr:colOff>
      <xdr:row>47</xdr:row>
      <xdr:rowOff>76200</xdr:rowOff>
    </xdr:from>
    <xdr:to>
      <xdr:col>9</xdr:col>
      <xdr:colOff>9526</xdr:colOff>
      <xdr:row>67</xdr:row>
      <xdr:rowOff>0</xdr:rowOff>
    </xdr:to>
    <xdr:graphicFrame macro="">
      <xdr:nvGraphicFramePr>
        <xdr:cNvPr id="22" name="Kaavio 21">
          <a:extLst>
            <a:ext uri="{FF2B5EF4-FFF2-40B4-BE49-F238E27FC236}">
              <a16:creationId xmlns:a16="http://schemas.microsoft.com/office/drawing/2014/main" id="{00000000-0008-0000-0A00-00001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xdr:col>
      <xdr:colOff>0</xdr:colOff>
      <xdr:row>68</xdr:row>
      <xdr:rowOff>0</xdr:rowOff>
    </xdr:from>
    <xdr:to>
      <xdr:col>9</xdr:col>
      <xdr:colOff>0</xdr:colOff>
      <xdr:row>76</xdr:row>
      <xdr:rowOff>47625</xdr:rowOff>
    </xdr:to>
    <xdr:sp macro="" textlink="" fLocksText="0">
      <xdr:nvSpPr>
        <xdr:cNvPr id="23" name="Tekstiruutu 22">
          <a:extLst>
            <a:ext uri="{FF2B5EF4-FFF2-40B4-BE49-F238E27FC236}">
              <a16:creationId xmlns:a16="http://schemas.microsoft.com/office/drawing/2014/main" id="{00000000-0008-0000-0A00-000017000000}"/>
            </a:ext>
          </a:extLst>
        </xdr:cNvPr>
        <xdr:cNvSpPr txBox="1"/>
      </xdr:nvSpPr>
      <xdr:spPr>
        <a:xfrm>
          <a:off x="180975" y="13658850"/>
          <a:ext cx="5314950" cy="1571625"/>
        </a:xfrm>
        <a:prstGeom prst="rect">
          <a:avLst/>
        </a:prstGeom>
        <a:solidFill>
          <a:srgbClr val="FFFF99"/>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lang="fi-FI" sz="1100">
            <a:latin typeface="+mj-lt"/>
          </a:endParaRPr>
        </a:p>
      </xdr:txBody>
    </xdr:sp>
    <xdr:clientData/>
  </xdr:twoCellAnchor>
  <xdr:twoCellAnchor>
    <xdr:from>
      <xdr:col>9</xdr:col>
      <xdr:colOff>180974</xdr:colOff>
      <xdr:row>68</xdr:row>
      <xdr:rowOff>0</xdr:rowOff>
    </xdr:from>
    <xdr:to>
      <xdr:col>17</xdr:col>
      <xdr:colOff>9524</xdr:colOff>
      <xdr:row>76</xdr:row>
      <xdr:rowOff>47625</xdr:rowOff>
    </xdr:to>
    <xdr:sp macro="" textlink="" fLocksText="0">
      <xdr:nvSpPr>
        <xdr:cNvPr id="27" name="Tekstiruutu 26">
          <a:extLst>
            <a:ext uri="{FF2B5EF4-FFF2-40B4-BE49-F238E27FC236}">
              <a16:creationId xmlns:a16="http://schemas.microsoft.com/office/drawing/2014/main" id="{00000000-0008-0000-0A00-00001B000000}"/>
            </a:ext>
          </a:extLst>
        </xdr:cNvPr>
        <xdr:cNvSpPr txBox="1"/>
      </xdr:nvSpPr>
      <xdr:spPr>
        <a:xfrm>
          <a:off x="5676899" y="13658850"/>
          <a:ext cx="5476875" cy="1571625"/>
        </a:xfrm>
        <a:prstGeom prst="rect">
          <a:avLst/>
        </a:prstGeom>
        <a:solidFill>
          <a:srgbClr val="FFFF99"/>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lang="fi-FI" sz="1100">
            <a:latin typeface="+mj-lt"/>
          </a:endParaRPr>
        </a:p>
      </xdr:txBody>
    </xdr:sp>
    <xdr:clientData/>
  </xdr:twoCellAnchor>
  <xdr:twoCellAnchor>
    <xdr:from>
      <xdr:col>18</xdr:col>
      <xdr:colOff>0</xdr:colOff>
      <xdr:row>68</xdr:row>
      <xdr:rowOff>0</xdr:rowOff>
    </xdr:from>
    <xdr:to>
      <xdr:col>27</xdr:col>
      <xdr:colOff>28575</xdr:colOff>
      <xdr:row>76</xdr:row>
      <xdr:rowOff>47625</xdr:rowOff>
    </xdr:to>
    <xdr:sp macro="" textlink="" fLocksText="0">
      <xdr:nvSpPr>
        <xdr:cNvPr id="28" name="Tekstiruutu 27">
          <a:extLst>
            <a:ext uri="{FF2B5EF4-FFF2-40B4-BE49-F238E27FC236}">
              <a16:creationId xmlns:a16="http://schemas.microsoft.com/office/drawing/2014/main" id="{00000000-0008-0000-0A00-00001C000000}"/>
            </a:ext>
          </a:extLst>
        </xdr:cNvPr>
        <xdr:cNvSpPr txBox="1"/>
      </xdr:nvSpPr>
      <xdr:spPr>
        <a:xfrm>
          <a:off x="11325225" y="13658850"/>
          <a:ext cx="6057900" cy="1571625"/>
        </a:xfrm>
        <a:prstGeom prst="rect">
          <a:avLst/>
        </a:prstGeom>
        <a:solidFill>
          <a:srgbClr val="FFFF99"/>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lang="fi-FI" sz="1100">
            <a:latin typeface="+mj-lt"/>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18</xdr:col>
      <xdr:colOff>0</xdr:colOff>
      <xdr:row>47</xdr:row>
      <xdr:rowOff>80962</xdr:rowOff>
    </xdr:from>
    <xdr:to>
      <xdr:col>27</xdr:col>
      <xdr:colOff>9525</xdr:colOff>
      <xdr:row>67</xdr:row>
      <xdr:rowOff>9526</xdr:rowOff>
    </xdr:to>
    <xdr:graphicFrame macro="">
      <xdr:nvGraphicFramePr>
        <xdr:cNvPr id="2" name="Kaavio 1">
          <a:extLst>
            <a:ext uri="{FF2B5EF4-FFF2-40B4-BE49-F238E27FC236}">
              <a16:creationId xmlns:a16="http://schemas.microsoft.com/office/drawing/2014/main" id="{00000000-0008-0000-0B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23</xdr:col>
      <xdr:colOff>657225</xdr:colOff>
      <xdr:row>49</xdr:row>
      <xdr:rowOff>85725</xdr:rowOff>
    </xdr:from>
    <xdr:to>
      <xdr:col>26</xdr:col>
      <xdr:colOff>638175</xdr:colOff>
      <xdr:row>52</xdr:row>
      <xdr:rowOff>123825</xdr:rowOff>
    </xdr:to>
    <xdr:sp macro="" textlink="">
      <xdr:nvSpPr>
        <xdr:cNvPr id="4" name="Tekstiruutu 3">
          <a:extLst>
            <a:ext uri="{FF2B5EF4-FFF2-40B4-BE49-F238E27FC236}">
              <a16:creationId xmlns:a16="http://schemas.microsoft.com/office/drawing/2014/main" id="{00000000-0008-0000-0B00-000004000000}"/>
            </a:ext>
          </a:extLst>
        </xdr:cNvPr>
        <xdr:cNvSpPr txBox="1"/>
      </xdr:nvSpPr>
      <xdr:spPr>
        <a:xfrm>
          <a:off x="15154275" y="10096500"/>
          <a:ext cx="2124075" cy="609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fi-FI" sz="1100">
              <a:latin typeface="+mj-lt"/>
            </a:rPr>
            <a:t>Vertaile omaa laskelmaa hyvää ja erinomaista tulosta tekevän tilan tuotantokustannukseen</a:t>
          </a:r>
        </a:p>
      </xdr:txBody>
    </xdr:sp>
    <xdr:clientData/>
  </xdr:twoCellAnchor>
  <xdr:twoCellAnchor>
    <xdr:from>
      <xdr:col>22</xdr:col>
      <xdr:colOff>704850</xdr:colOff>
      <xdr:row>0</xdr:row>
      <xdr:rowOff>28575</xdr:rowOff>
    </xdr:from>
    <xdr:to>
      <xdr:col>25</xdr:col>
      <xdr:colOff>9525</xdr:colOff>
      <xdr:row>1</xdr:row>
      <xdr:rowOff>85725</xdr:rowOff>
    </xdr:to>
    <xdr:sp macro="" textlink="">
      <xdr:nvSpPr>
        <xdr:cNvPr id="5" name="Nuoli oikealle 4">
          <a:hlinkClick xmlns:r="http://schemas.openxmlformats.org/officeDocument/2006/relationships" r:id="rId2"/>
          <a:extLst>
            <a:ext uri="{FF2B5EF4-FFF2-40B4-BE49-F238E27FC236}">
              <a16:creationId xmlns:a16="http://schemas.microsoft.com/office/drawing/2014/main" id="{00000000-0008-0000-0B00-000005000000}"/>
            </a:ext>
          </a:extLst>
        </xdr:cNvPr>
        <xdr:cNvSpPr/>
      </xdr:nvSpPr>
      <xdr:spPr>
        <a:xfrm>
          <a:off x="14487525" y="28575"/>
          <a:ext cx="1447800" cy="371475"/>
        </a:xfrm>
        <a:prstGeom prst="rightArrow">
          <a:avLst/>
        </a:prstGeom>
        <a:solidFill>
          <a:schemeClr val="accent4">
            <a:lumMod val="75000"/>
          </a:schemeClr>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fi-FI" sz="1100"/>
            <a:t>Laskelmien vertailu</a:t>
          </a:r>
        </a:p>
      </xdr:txBody>
    </xdr:sp>
    <xdr:clientData/>
  </xdr:twoCellAnchor>
  <xdr:twoCellAnchor>
    <xdr:from>
      <xdr:col>39</xdr:col>
      <xdr:colOff>3305175</xdr:colOff>
      <xdr:row>0</xdr:row>
      <xdr:rowOff>47625</xdr:rowOff>
    </xdr:from>
    <xdr:to>
      <xdr:col>39</xdr:col>
      <xdr:colOff>4772025</xdr:colOff>
      <xdr:row>1</xdr:row>
      <xdr:rowOff>66675</xdr:rowOff>
    </xdr:to>
    <xdr:sp macro="" textlink="">
      <xdr:nvSpPr>
        <xdr:cNvPr id="6" name="Nuoli vasemmalle 5">
          <a:hlinkClick xmlns:r="http://schemas.openxmlformats.org/officeDocument/2006/relationships" r:id="rId3"/>
          <a:extLst>
            <a:ext uri="{FF2B5EF4-FFF2-40B4-BE49-F238E27FC236}">
              <a16:creationId xmlns:a16="http://schemas.microsoft.com/office/drawing/2014/main" id="{00000000-0008-0000-0B00-000006000000}"/>
            </a:ext>
          </a:extLst>
        </xdr:cNvPr>
        <xdr:cNvSpPr/>
      </xdr:nvSpPr>
      <xdr:spPr>
        <a:xfrm>
          <a:off x="25622250" y="47625"/>
          <a:ext cx="1466850" cy="333375"/>
        </a:xfrm>
        <a:prstGeom prst="leftArrow">
          <a:avLst/>
        </a:prstGeom>
        <a:solidFill>
          <a:srgbClr val="FF66FF"/>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i-FI" sz="1100"/>
            <a:t>Palaa alkuun</a:t>
          </a:r>
        </a:p>
      </xdr:txBody>
    </xdr:sp>
    <xdr:clientData/>
  </xdr:twoCellAnchor>
  <xdr:twoCellAnchor>
    <xdr:from>
      <xdr:col>22</xdr:col>
      <xdr:colOff>180975</xdr:colOff>
      <xdr:row>0</xdr:row>
      <xdr:rowOff>28574</xdr:rowOff>
    </xdr:from>
    <xdr:to>
      <xdr:col>22</xdr:col>
      <xdr:colOff>581025</xdr:colOff>
      <xdr:row>0</xdr:row>
      <xdr:rowOff>333375</xdr:rowOff>
    </xdr:to>
    <xdr:sp macro="" textlink="">
      <xdr:nvSpPr>
        <xdr:cNvPr id="8" name="Alanuoli 7">
          <a:hlinkClick xmlns:r="http://schemas.openxmlformats.org/officeDocument/2006/relationships" r:id="rId4"/>
          <a:extLst>
            <a:ext uri="{FF2B5EF4-FFF2-40B4-BE49-F238E27FC236}">
              <a16:creationId xmlns:a16="http://schemas.microsoft.com/office/drawing/2014/main" id="{00000000-0008-0000-0B00-000008000000}"/>
            </a:ext>
          </a:extLst>
        </xdr:cNvPr>
        <xdr:cNvSpPr/>
      </xdr:nvSpPr>
      <xdr:spPr>
        <a:xfrm>
          <a:off x="13963650" y="28574"/>
          <a:ext cx="400050" cy="304801"/>
        </a:xfrm>
        <a:prstGeom prst="downArrow">
          <a:avLst/>
        </a:prstGeom>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i-FI" sz="1100"/>
        </a:p>
      </xdr:txBody>
    </xdr:sp>
    <xdr:clientData/>
  </xdr:twoCellAnchor>
  <xdr:twoCellAnchor>
    <xdr:from>
      <xdr:col>14</xdr:col>
      <xdr:colOff>581024</xdr:colOff>
      <xdr:row>3</xdr:row>
      <xdr:rowOff>19049</xdr:rowOff>
    </xdr:from>
    <xdr:to>
      <xdr:col>17</xdr:col>
      <xdr:colOff>123824</xdr:colOff>
      <xdr:row>10</xdr:row>
      <xdr:rowOff>238125</xdr:rowOff>
    </xdr:to>
    <xdr:graphicFrame macro="">
      <xdr:nvGraphicFramePr>
        <xdr:cNvPr id="9" name="Kaavio 8">
          <a:extLst>
            <a:ext uri="{FF2B5EF4-FFF2-40B4-BE49-F238E27FC236}">
              <a16:creationId xmlns:a16="http://schemas.microsoft.com/office/drawing/2014/main" id="{00000000-0008-0000-0B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171450</xdr:colOff>
      <xdr:row>47</xdr:row>
      <xdr:rowOff>66675</xdr:rowOff>
    </xdr:from>
    <xdr:to>
      <xdr:col>17</xdr:col>
      <xdr:colOff>9525</xdr:colOff>
      <xdr:row>67</xdr:row>
      <xdr:rowOff>9525</xdr:rowOff>
    </xdr:to>
    <xdr:graphicFrame macro="">
      <xdr:nvGraphicFramePr>
        <xdr:cNvPr id="10" name="Kaavio 9">
          <a:extLst>
            <a:ext uri="{FF2B5EF4-FFF2-40B4-BE49-F238E27FC236}">
              <a16:creationId xmlns:a16="http://schemas.microsoft.com/office/drawing/2014/main" id="{00000000-0008-0000-0B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39</xdr:col>
      <xdr:colOff>0</xdr:colOff>
      <xdr:row>11</xdr:row>
      <xdr:rowOff>38100</xdr:rowOff>
    </xdr:from>
    <xdr:to>
      <xdr:col>40</xdr:col>
      <xdr:colOff>0</xdr:colOff>
      <xdr:row>27</xdr:row>
      <xdr:rowOff>0</xdr:rowOff>
    </xdr:to>
    <xdr:sp macro="" textlink="" fLocksText="0">
      <xdr:nvSpPr>
        <xdr:cNvPr id="12" name="Tekstiruutu 11">
          <a:extLst>
            <a:ext uri="{FF2B5EF4-FFF2-40B4-BE49-F238E27FC236}">
              <a16:creationId xmlns:a16="http://schemas.microsoft.com/office/drawing/2014/main" id="{00000000-0008-0000-0B00-00000C000000}"/>
            </a:ext>
          </a:extLst>
        </xdr:cNvPr>
        <xdr:cNvSpPr txBox="1"/>
      </xdr:nvSpPr>
      <xdr:spPr>
        <a:xfrm>
          <a:off x="22317075" y="2495550"/>
          <a:ext cx="4800600" cy="3228975"/>
        </a:xfrm>
        <a:prstGeom prst="rect">
          <a:avLst/>
        </a:prstGeom>
        <a:solidFill>
          <a:srgbClr val="FFFF99"/>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lang="fi-FI" sz="1100">
            <a:latin typeface="+mj-lt"/>
          </a:endParaRPr>
        </a:p>
      </xdr:txBody>
    </xdr:sp>
    <xdr:clientData/>
  </xdr:twoCellAnchor>
  <xdr:twoCellAnchor>
    <xdr:from>
      <xdr:col>39</xdr:col>
      <xdr:colOff>0</xdr:colOff>
      <xdr:row>27</xdr:row>
      <xdr:rowOff>38101</xdr:rowOff>
    </xdr:from>
    <xdr:to>
      <xdr:col>40</xdr:col>
      <xdr:colOff>0</xdr:colOff>
      <xdr:row>33</xdr:row>
      <xdr:rowOff>190501</xdr:rowOff>
    </xdr:to>
    <xdr:sp macro="" textlink="" fLocksText="0">
      <xdr:nvSpPr>
        <xdr:cNvPr id="13" name="Tekstiruutu 12">
          <a:extLst>
            <a:ext uri="{FF2B5EF4-FFF2-40B4-BE49-F238E27FC236}">
              <a16:creationId xmlns:a16="http://schemas.microsoft.com/office/drawing/2014/main" id="{00000000-0008-0000-0B00-00000D000000}"/>
            </a:ext>
          </a:extLst>
        </xdr:cNvPr>
        <xdr:cNvSpPr txBox="1"/>
      </xdr:nvSpPr>
      <xdr:spPr>
        <a:xfrm>
          <a:off x="22317075" y="5762626"/>
          <a:ext cx="4800600" cy="1304925"/>
        </a:xfrm>
        <a:prstGeom prst="rect">
          <a:avLst/>
        </a:prstGeom>
        <a:solidFill>
          <a:srgbClr val="FFFF99"/>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lang="fi-FI" sz="1100">
            <a:latin typeface="+mj-lt"/>
          </a:endParaRPr>
        </a:p>
      </xdr:txBody>
    </xdr:sp>
    <xdr:clientData/>
  </xdr:twoCellAnchor>
  <xdr:twoCellAnchor>
    <xdr:from>
      <xdr:col>39</xdr:col>
      <xdr:colOff>0</xdr:colOff>
      <xdr:row>34</xdr:row>
      <xdr:rowOff>9525</xdr:rowOff>
    </xdr:from>
    <xdr:to>
      <xdr:col>40</xdr:col>
      <xdr:colOff>0</xdr:colOff>
      <xdr:row>45</xdr:row>
      <xdr:rowOff>171449</xdr:rowOff>
    </xdr:to>
    <xdr:sp macro="" textlink="" fLocksText="0">
      <xdr:nvSpPr>
        <xdr:cNvPr id="14" name="Tekstiruutu 13">
          <a:extLst>
            <a:ext uri="{FF2B5EF4-FFF2-40B4-BE49-F238E27FC236}">
              <a16:creationId xmlns:a16="http://schemas.microsoft.com/office/drawing/2014/main" id="{00000000-0008-0000-0B00-00000E000000}"/>
            </a:ext>
          </a:extLst>
        </xdr:cNvPr>
        <xdr:cNvSpPr txBox="1"/>
      </xdr:nvSpPr>
      <xdr:spPr>
        <a:xfrm>
          <a:off x="22317075" y="7096125"/>
          <a:ext cx="4800600" cy="2324099"/>
        </a:xfrm>
        <a:prstGeom prst="rect">
          <a:avLst/>
        </a:prstGeom>
        <a:solidFill>
          <a:srgbClr val="FFFF99"/>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lang="fi-FI" sz="1100">
            <a:latin typeface="+mj-lt"/>
          </a:endParaRPr>
        </a:p>
      </xdr:txBody>
    </xdr:sp>
    <xdr:clientData/>
  </xdr:twoCellAnchor>
  <xdr:twoCellAnchor>
    <xdr:from>
      <xdr:col>36</xdr:col>
      <xdr:colOff>19051</xdr:colOff>
      <xdr:row>47</xdr:row>
      <xdr:rowOff>104774</xdr:rowOff>
    </xdr:from>
    <xdr:to>
      <xdr:col>40</xdr:col>
      <xdr:colOff>0</xdr:colOff>
      <xdr:row>67</xdr:row>
      <xdr:rowOff>9525</xdr:rowOff>
    </xdr:to>
    <xdr:sp macro="" textlink="" fLocksText="0">
      <xdr:nvSpPr>
        <xdr:cNvPr id="17" name="Tekstiruutu 16">
          <a:extLst>
            <a:ext uri="{FF2B5EF4-FFF2-40B4-BE49-F238E27FC236}">
              <a16:creationId xmlns:a16="http://schemas.microsoft.com/office/drawing/2014/main" id="{00000000-0008-0000-0B00-000011000000}"/>
            </a:ext>
          </a:extLst>
        </xdr:cNvPr>
        <xdr:cNvSpPr txBox="1"/>
      </xdr:nvSpPr>
      <xdr:spPr>
        <a:xfrm>
          <a:off x="17735551" y="9763124"/>
          <a:ext cx="9382124" cy="3714751"/>
        </a:xfrm>
        <a:prstGeom prst="rect">
          <a:avLst/>
        </a:prstGeom>
        <a:solidFill>
          <a:srgbClr val="FFFF99"/>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lang="fi-FI" sz="1100">
            <a:latin typeface="+mj-lt"/>
          </a:endParaRPr>
        </a:p>
      </xdr:txBody>
    </xdr:sp>
    <xdr:clientData/>
  </xdr:twoCellAnchor>
  <xdr:twoCellAnchor>
    <xdr:from>
      <xdr:col>25</xdr:col>
      <xdr:colOff>361950</xdr:colOff>
      <xdr:row>78</xdr:row>
      <xdr:rowOff>9525</xdr:rowOff>
    </xdr:from>
    <xdr:to>
      <xdr:col>26</xdr:col>
      <xdr:colOff>609600</xdr:colOff>
      <xdr:row>81</xdr:row>
      <xdr:rowOff>171450</xdr:rowOff>
    </xdr:to>
    <xdr:sp macro="" textlink="">
      <xdr:nvSpPr>
        <xdr:cNvPr id="18" name="Pyöristetty suorakulmio 17" descr="Klikkaa tästä!" title="Siirry alkuun">
          <a:hlinkClick xmlns:r="http://schemas.openxmlformats.org/officeDocument/2006/relationships" r:id="rId7"/>
          <a:extLst>
            <a:ext uri="{FF2B5EF4-FFF2-40B4-BE49-F238E27FC236}">
              <a16:creationId xmlns:a16="http://schemas.microsoft.com/office/drawing/2014/main" id="{00000000-0008-0000-0B00-000012000000}"/>
            </a:ext>
          </a:extLst>
        </xdr:cNvPr>
        <xdr:cNvSpPr/>
      </xdr:nvSpPr>
      <xdr:spPr>
        <a:xfrm>
          <a:off x="16287750" y="13830300"/>
          <a:ext cx="962025" cy="733425"/>
        </a:xfrm>
        <a:prstGeom prst="roundRect">
          <a:avLst/>
        </a:prstGeom>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fi-FI" sz="1600"/>
            <a:t>Siirry alkuun</a:t>
          </a:r>
        </a:p>
      </xdr:txBody>
    </xdr:sp>
    <xdr:clientData/>
  </xdr:twoCellAnchor>
  <xdr:twoCellAnchor>
    <xdr:from>
      <xdr:col>22</xdr:col>
      <xdr:colOff>523875</xdr:colOff>
      <xdr:row>78</xdr:row>
      <xdr:rowOff>19050</xdr:rowOff>
    </xdr:from>
    <xdr:to>
      <xdr:col>25</xdr:col>
      <xdr:colOff>180975</xdr:colOff>
      <xdr:row>81</xdr:row>
      <xdr:rowOff>180975</xdr:rowOff>
    </xdr:to>
    <xdr:sp macro="" textlink="">
      <xdr:nvSpPr>
        <xdr:cNvPr id="19" name="Pyöristetty suorakulmio 18" descr="Klikkaa tästä!" title="Siirry alkuun">
          <a:hlinkClick xmlns:r="http://schemas.openxmlformats.org/officeDocument/2006/relationships" r:id="rId8"/>
          <a:extLst>
            <a:ext uri="{FF2B5EF4-FFF2-40B4-BE49-F238E27FC236}">
              <a16:creationId xmlns:a16="http://schemas.microsoft.com/office/drawing/2014/main" id="{00000000-0008-0000-0B00-000013000000}"/>
            </a:ext>
          </a:extLst>
        </xdr:cNvPr>
        <xdr:cNvSpPr/>
      </xdr:nvSpPr>
      <xdr:spPr>
        <a:xfrm>
          <a:off x="14306550" y="13839825"/>
          <a:ext cx="1800225" cy="733425"/>
        </a:xfrm>
        <a:prstGeom prst="roundRect">
          <a:avLst/>
        </a:prstGeom>
        <a:solidFill>
          <a:srgbClr val="98F20F"/>
        </a:solidFill>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fi-FI" sz="1800"/>
            <a:t>Lähtötiedot</a:t>
          </a:r>
          <a:endParaRPr lang="fi-FI" sz="1400"/>
        </a:p>
      </xdr:txBody>
    </xdr:sp>
    <xdr:clientData/>
  </xdr:twoCellAnchor>
  <xdr:twoCellAnchor editAs="oneCell">
    <xdr:from>
      <xdr:col>1</xdr:col>
      <xdr:colOff>0</xdr:colOff>
      <xdr:row>0</xdr:row>
      <xdr:rowOff>0</xdr:rowOff>
    </xdr:from>
    <xdr:to>
      <xdr:col>3</xdr:col>
      <xdr:colOff>228600</xdr:colOff>
      <xdr:row>0</xdr:row>
      <xdr:rowOff>339138</xdr:rowOff>
    </xdr:to>
    <xdr:pic>
      <xdr:nvPicPr>
        <xdr:cNvPr id="20" name="Kuva 19">
          <a:extLst>
            <a:ext uri="{FF2B5EF4-FFF2-40B4-BE49-F238E27FC236}">
              <a16:creationId xmlns:a16="http://schemas.microsoft.com/office/drawing/2014/main" id="{00000000-0008-0000-0B00-000014000000}"/>
            </a:ext>
          </a:extLst>
        </xdr:cNvPr>
        <xdr:cNvPicPr>
          <a:picLocks noChangeAspect="1"/>
        </xdr:cNvPicPr>
      </xdr:nvPicPr>
      <xdr:blipFill rotWithShape="1">
        <a:blip xmlns:r="http://schemas.openxmlformats.org/officeDocument/2006/relationships" r:embed="rId9"/>
        <a:srcRect l="4914" t="19635" r="9124" b="32923"/>
        <a:stretch/>
      </xdr:blipFill>
      <xdr:spPr>
        <a:xfrm>
          <a:off x="180975" y="0"/>
          <a:ext cx="1123950" cy="339138"/>
        </a:xfrm>
        <a:prstGeom prst="rect">
          <a:avLst/>
        </a:prstGeom>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pic>
    <xdr:clientData/>
  </xdr:twoCellAnchor>
  <xdr:twoCellAnchor>
    <xdr:from>
      <xdr:col>21</xdr:col>
      <xdr:colOff>28575</xdr:colOff>
      <xdr:row>2</xdr:row>
      <xdr:rowOff>19051</xdr:rowOff>
    </xdr:from>
    <xdr:to>
      <xdr:col>26</xdr:col>
      <xdr:colOff>685800</xdr:colOff>
      <xdr:row>7</xdr:row>
      <xdr:rowOff>133350</xdr:rowOff>
    </xdr:to>
    <xdr:sp macro="" textlink="">
      <xdr:nvSpPr>
        <xdr:cNvPr id="21" name="Tekstiruutu 20">
          <a:extLst>
            <a:ext uri="{FF2B5EF4-FFF2-40B4-BE49-F238E27FC236}">
              <a16:creationId xmlns:a16="http://schemas.microsoft.com/office/drawing/2014/main" id="{00000000-0008-0000-0B00-000015000000}"/>
            </a:ext>
          </a:extLst>
        </xdr:cNvPr>
        <xdr:cNvSpPr txBox="1"/>
      </xdr:nvSpPr>
      <xdr:spPr>
        <a:xfrm>
          <a:off x="13096875" y="542926"/>
          <a:ext cx="4229100" cy="1238249"/>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050">
              <a:latin typeface="+mj-lt"/>
            </a:rPr>
            <a:t>Tällä</a:t>
          </a:r>
          <a:r>
            <a:rPr lang="fi-FI" sz="1050" baseline="0">
              <a:latin typeface="+mj-lt"/>
            </a:rPr>
            <a:t> sivulla lasketaan lihasonnin tuotantokustannus </a:t>
          </a:r>
        </a:p>
        <a:p>
          <a:r>
            <a:rPr lang="fi-FI" sz="900" baseline="0">
              <a:latin typeface="+mj-lt"/>
            </a:rPr>
            <a:t>   Lihasonnin tuotantokustannus on laskelmassa esitetty myös säilörehun </a:t>
          </a:r>
        </a:p>
        <a:p>
          <a:r>
            <a:rPr lang="fi-FI" sz="900" baseline="0">
              <a:latin typeface="+mj-lt"/>
            </a:rPr>
            <a:t>   markkinahinnalla laskettuna, joka paljastaa rehuntuotannon kalleuden/edullisuuden</a:t>
          </a:r>
        </a:p>
        <a:p>
          <a:pPr marL="0" marR="0" lvl="0" indent="0" defTabSz="914400" eaLnBrk="1" fontAlgn="auto" latinLnBrk="0" hangingPunct="1">
            <a:lnSpc>
              <a:spcPct val="100000"/>
            </a:lnSpc>
            <a:spcBef>
              <a:spcPts val="0"/>
            </a:spcBef>
            <a:spcAft>
              <a:spcPts val="0"/>
            </a:spcAft>
            <a:buClrTx/>
            <a:buSzTx/>
            <a:buFontTx/>
            <a:buNone/>
            <a:tabLst/>
            <a:defRPr/>
          </a:pPr>
          <a:r>
            <a:rPr lang="fi-FI" sz="900" baseline="0">
              <a:latin typeface="+mj-lt"/>
            </a:rPr>
            <a:t>1. Muuta tarvittaessa lähtötietoja (vihreä solu) </a:t>
          </a:r>
        </a:p>
        <a:p>
          <a:pPr marL="0" marR="0" lvl="0" indent="0" defTabSz="914400" eaLnBrk="1" fontAlgn="auto" latinLnBrk="0" hangingPunct="1">
            <a:lnSpc>
              <a:spcPct val="100000"/>
            </a:lnSpc>
            <a:spcBef>
              <a:spcPts val="0"/>
            </a:spcBef>
            <a:spcAft>
              <a:spcPts val="0"/>
            </a:spcAft>
            <a:buClrTx/>
            <a:buSzTx/>
            <a:buFontTx/>
            <a:buNone/>
            <a:tabLst/>
            <a:defRPr/>
          </a:pPr>
          <a:r>
            <a:rPr lang="fi-FI" sz="900">
              <a:solidFill>
                <a:schemeClr val="dk1"/>
              </a:solidFill>
              <a:effectLst/>
              <a:latin typeface="+mj-lt"/>
              <a:ea typeface="+mn-ea"/>
              <a:cs typeface="+mn-cs"/>
            </a:rPr>
            <a:t>      - Toimenpide poistaa automaattisen</a:t>
          </a:r>
          <a:r>
            <a:rPr lang="fi-FI" sz="900" baseline="0">
              <a:solidFill>
                <a:schemeClr val="dk1"/>
              </a:solidFill>
              <a:effectLst/>
              <a:latin typeface="+mj-lt"/>
              <a:ea typeface="+mn-ea"/>
              <a:cs typeface="+mn-cs"/>
            </a:rPr>
            <a:t> kaavan, joten </a:t>
          </a:r>
          <a:r>
            <a:rPr lang="fi-FI" sz="900">
              <a:solidFill>
                <a:schemeClr val="dk1"/>
              </a:solidFill>
              <a:effectLst/>
              <a:latin typeface="+mj-lt"/>
              <a:ea typeface="+mn-ea"/>
              <a:cs typeface="+mn-cs"/>
            </a:rPr>
            <a:t>tallenna ensin eri versiona.</a:t>
          </a:r>
          <a:endParaRPr lang="fi-FI" sz="900">
            <a:effectLst/>
            <a:latin typeface="+mj-lt"/>
          </a:endParaRPr>
        </a:p>
        <a:p>
          <a:r>
            <a:rPr lang="fi-FI" sz="900" baseline="0">
              <a:latin typeface="+mj-lt"/>
            </a:rPr>
            <a:t>2. Vertaile lihantuotantokustannusta (hyvä, erinomainen)</a:t>
          </a:r>
        </a:p>
        <a:p>
          <a:r>
            <a:rPr lang="fi-FI" sz="900" baseline="0">
              <a:latin typeface="+mj-lt"/>
            </a:rPr>
            <a:t>3. Pohdi millä toimenpiteillä kustannuksia voidaan alentaa?</a:t>
          </a:r>
          <a:endParaRPr lang="fi-FI" sz="900">
            <a:latin typeface="+mj-lt"/>
          </a:endParaRPr>
        </a:p>
      </xdr:txBody>
    </xdr:sp>
    <xdr:clientData/>
  </xdr:twoCellAnchor>
  <xdr:twoCellAnchor>
    <xdr:from>
      <xdr:col>35</xdr:col>
      <xdr:colOff>180974</xdr:colOff>
      <xdr:row>2</xdr:row>
      <xdr:rowOff>238125</xdr:rowOff>
    </xdr:from>
    <xdr:to>
      <xdr:col>37</xdr:col>
      <xdr:colOff>2438399</xdr:colOff>
      <xdr:row>7</xdr:row>
      <xdr:rowOff>104775</xdr:rowOff>
    </xdr:to>
    <xdr:sp macro="" textlink="">
      <xdr:nvSpPr>
        <xdr:cNvPr id="22" name="Tekstiruutu 21">
          <a:extLst>
            <a:ext uri="{FF2B5EF4-FFF2-40B4-BE49-F238E27FC236}">
              <a16:creationId xmlns:a16="http://schemas.microsoft.com/office/drawing/2014/main" id="{00000000-0008-0000-0B00-000016000000}"/>
            </a:ext>
          </a:extLst>
        </xdr:cNvPr>
        <xdr:cNvSpPr txBox="1"/>
      </xdr:nvSpPr>
      <xdr:spPr>
        <a:xfrm>
          <a:off x="17716499" y="762000"/>
          <a:ext cx="4410075" cy="990600"/>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100" baseline="0">
              <a:solidFill>
                <a:schemeClr val="dk1"/>
              </a:solidFill>
              <a:effectLst/>
              <a:latin typeface="+mj-lt"/>
              <a:ea typeface="+mn-ea"/>
              <a:cs typeface="+mn-cs"/>
            </a:rPr>
            <a:t>Vertaile lihantuotantokustannusta (hyvä, erinomainen)</a:t>
          </a:r>
          <a:endParaRPr lang="fi-FI" sz="1000">
            <a:effectLst/>
            <a:latin typeface="+mj-lt"/>
          </a:endParaRPr>
        </a:p>
      </xdr:txBody>
    </xdr:sp>
    <xdr:clientData/>
  </xdr:twoCellAnchor>
  <xdr:twoCellAnchor>
    <xdr:from>
      <xdr:col>39</xdr:col>
      <xdr:colOff>9524</xdr:colOff>
      <xdr:row>2</xdr:row>
      <xdr:rowOff>238125</xdr:rowOff>
    </xdr:from>
    <xdr:to>
      <xdr:col>40</xdr:col>
      <xdr:colOff>0</xdr:colOff>
      <xdr:row>7</xdr:row>
      <xdr:rowOff>104775</xdr:rowOff>
    </xdr:to>
    <xdr:sp macro="" textlink="">
      <xdr:nvSpPr>
        <xdr:cNvPr id="23" name="Tekstiruutu 22">
          <a:extLst>
            <a:ext uri="{FF2B5EF4-FFF2-40B4-BE49-F238E27FC236}">
              <a16:creationId xmlns:a16="http://schemas.microsoft.com/office/drawing/2014/main" id="{00000000-0008-0000-0B00-000017000000}"/>
            </a:ext>
          </a:extLst>
        </xdr:cNvPr>
        <xdr:cNvSpPr txBox="1"/>
      </xdr:nvSpPr>
      <xdr:spPr>
        <a:xfrm>
          <a:off x="22326599" y="762000"/>
          <a:ext cx="4791076" cy="990600"/>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lang="fi-FI" sz="1100" baseline="0">
              <a:solidFill>
                <a:schemeClr val="dk1"/>
              </a:solidFill>
              <a:effectLst/>
              <a:latin typeface="+mj-lt"/>
              <a:ea typeface="+mn-ea"/>
              <a:cs typeface="+mn-cs"/>
            </a:rPr>
            <a:t>Pohdi millä toimenpiteillä kustannuksia voidaan alentaa?</a:t>
          </a:r>
        </a:p>
      </xdr:txBody>
    </xdr:sp>
    <xdr:clientData/>
  </xdr:twoCellAnchor>
  <xdr:twoCellAnchor>
    <xdr:from>
      <xdr:col>7</xdr:col>
      <xdr:colOff>0</xdr:colOff>
      <xdr:row>38</xdr:row>
      <xdr:rowOff>0</xdr:rowOff>
    </xdr:from>
    <xdr:to>
      <xdr:col>9</xdr:col>
      <xdr:colOff>9525</xdr:colOff>
      <xdr:row>46</xdr:row>
      <xdr:rowOff>0</xdr:rowOff>
    </xdr:to>
    <xdr:sp macro="" textlink="">
      <xdr:nvSpPr>
        <xdr:cNvPr id="24" name="Tekstiruutu 23">
          <a:extLst>
            <a:ext uri="{FF2B5EF4-FFF2-40B4-BE49-F238E27FC236}">
              <a16:creationId xmlns:a16="http://schemas.microsoft.com/office/drawing/2014/main" id="{00000000-0008-0000-0B00-000018000000}"/>
            </a:ext>
          </a:extLst>
        </xdr:cNvPr>
        <xdr:cNvSpPr txBox="1"/>
      </xdr:nvSpPr>
      <xdr:spPr>
        <a:xfrm>
          <a:off x="3933825" y="7905750"/>
          <a:ext cx="1571625" cy="1562100"/>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050">
              <a:latin typeface="+mj-lt"/>
            </a:rPr>
            <a:t>Vertaile katetuottoja</a:t>
          </a:r>
          <a:r>
            <a:rPr lang="fi-FI" sz="1050" baseline="0">
              <a:latin typeface="+mj-lt"/>
            </a:rPr>
            <a:t> hyvää ja erinomaista tulosta tekeviin tiloihin.</a:t>
          </a:r>
        </a:p>
        <a:p>
          <a:endParaRPr lang="fi-FI" sz="1050" baseline="0">
            <a:latin typeface="+mj-lt"/>
          </a:endParaRPr>
        </a:p>
        <a:p>
          <a:r>
            <a:rPr lang="fi-FI" sz="1050" baseline="0">
              <a:latin typeface="+mj-lt"/>
            </a:rPr>
            <a:t>Miten oman tilan tulos pärjää vertailussa?</a:t>
          </a:r>
        </a:p>
        <a:p>
          <a:endParaRPr lang="fi-FI" sz="1050" baseline="0">
            <a:latin typeface="+mj-lt"/>
          </a:endParaRPr>
        </a:p>
        <a:p>
          <a:r>
            <a:rPr lang="fi-FI" sz="1050" baseline="0">
              <a:latin typeface="+mj-lt"/>
            </a:rPr>
            <a:t>Selvitä mistä erot johtuvat?</a:t>
          </a:r>
          <a:endParaRPr lang="fi-FI" sz="900">
            <a:latin typeface="+mj-lt"/>
          </a:endParaRPr>
        </a:p>
      </xdr:txBody>
    </xdr:sp>
    <xdr:clientData/>
  </xdr:twoCellAnchor>
  <xdr:twoCellAnchor>
    <xdr:from>
      <xdr:col>0</xdr:col>
      <xdr:colOff>161925</xdr:colOff>
      <xdr:row>47</xdr:row>
      <xdr:rowOff>76200</xdr:rowOff>
    </xdr:from>
    <xdr:to>
      <xdr:col>9</xdr:col>
      <xdr:colOff>9526</xdr:colOff>
      <xdr:row>67</xdr:row>
      <xdr:rowOff>0</xdr:rowOff>
    </xdr:to>
    <xdr:graphicFrame macro="">
      <xdr:nvGraphicFramePr>
        <xdr:cNvPr id="25" name="Kaavio 24">
          <a:extLst>
            <a:ext uri="{FF2B5EF4-FFF2-40B4-BE49-F238E27FC236}">
              <a16:creationId xmlns:a16="http://schemas.microsoft.com/office/drawing/2014/main" id="{00000000-0008-0000-0B00-00001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xdr:col>
      <xdr:colOff>0</xdr:colOff>
      <xdr:row>68</xdr:row>
      <xdr:rowOff>0</xdr:rowOff>
    </xdr:from>
    <xdr:to>
      <xdr:col>9</xdr:col>
      <xdr:colOff>0</xdr:colOff>
      <xdr:row>76</xdr:row>
      <xdr:rowOff>47625</xdr:rowOff>
    </xdr:to>
    <xdr:sp macro="" textlink="" fLocksText="0">
      <xdr:nvSpPr>
        <xdr:cNvPr id="26" name="Tekstiruutu 25">
          <a:extLst>
            <a:ext uri="{FF2B5EF4-FFF2-40B4-BE49-F238E27FC236}">
              <a16:creationId xmlns:a16="http://schemas.microsoft.com/office/drawing/2014/main" id="{00000000-0008-0000-0B00-00001A000000}"/>
            </a:ext>
          </a:extLst>
        </xdr:cNvPr>
        <xdr:cNvSpPr txBox="1"/>
      </xdr:nvSpPr>
      <xdr:spPr>
        <a:xfrm>
          <a:off x="180975" y="13658850"/>
          <a:ext cx="5314950" cy="1571625"/>
        </a:xfrm>
        <a:prstGeom prst="rect">
          <a:avLst/>
        </a:prstGeom>
        <a:solidFill>
          <a:srgbClr val="FFFF99"/>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lang="fi-FI" sz="1100">
            <a:latin typeface="+mj-lt"/>
          </a:endParaRPr>
        </a:p>
      </xdr:txBody>
    </xdr:sp>
    <xdr:clientData/>
  </xdr:twoCellAnchor>
  <xdr:twoCellAnchor>
    <xdr:from>
      <xdr:col>9</xdr:col>
      <xdr:colOff>180974</xdr:colOff>
      <xdr:row>68</xdr:row>
      <xdr:rowOff>0</xdr:rowOff>
    </xdr:from>
    <xdr:to>
      <xdr:col>17</xdr:col>
      <xdr:colOff>9524</xdr:colOff>
      <xdr:row>76</xdr:row>
      <xdr:rowOff>47625</xdr:rowOff>
    </xdr:to>
    <xdr:sp macro="" textlink="" fLocksText="0">
      <xdr:nvSpPr>
        <xdr:cNvPr id="27" name="Tekstiruutu 26">
          <a:extLst>
            <a:ext uri="{FF2B5EF4-FFF2-40B4-BE49-F238E27FC236}">
              <a16:creationId xmlns:a16="http://schemas.microsoft.com/office/drawing/2014/main" id="{00000000-0008-0000-0B00-00001B000000}"/>
            </a:ext>
          </a:extLst>
        </xdr:cNvPr>
        <xdr:cNvSpPr txBox="1"/>
      </xdr:nvSpPr>
      <xdr:spPr>
        <a:xfrm>
          <a:off x="5676899" y="13658850"/>
          <a:ext cx="5476875" cy="1571625"/>
        </a:xfrm>
        <a:prstGeom prst="rect">
          <a:avLst/>
        </a:prstGeom>
        <a:solidFill>
          <a:srgbClr val="FFFF99"/>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lang="fi-FI" sz="1100">
            <a:latin typeface="+mj-lt"/>
          </a:endParaRPr>
        </a:p>
      </xdr:txBody>
    </xdr:sp>
    <xdr:clientData/>
  </xdr:twoCellAnchor>
  <xdr:twoCellAnchor>
    <xdr:from>
      <xdr:col>18</xdr:col>
      <xdr:colOff>0</xdr:colOff>
      <xdr:row>68</xdr:row>
      <xdr:rowOff>0</xdr:rowOff>
    </xdr:from>
    <xdr:to>
      <xdr:col>27</xdr:col>
      <xdr:colOff>28575</xdr:colOff>
      <xdr:row>76</xdr:row>
      <xdr:rowOff>47625</xdr:rowOff>
    </xdr:to>
    <xdr:sp macro="" textlink="" fLocksText="0">
      <xdr:nvSpPr>
        <xdr:cNvPr id="28" name="Tekstiruutu 27">
          <a:extLst>
            <a:ext uri="{FF2B5EF4-FFF2-40B4-BE49-F238E27FC236}">
              <a16:creationId xmlns:a16="http://schemas.microsoft.com/office/drawing/2014/main" id="{00000000-0008-0000-0B00-00001C000000}"/>
            </a:ext>
          </a:extLst>
        </xdr:cNvPr>
        <xdr:cNvSpPr txBox="1"/>
      </xdr:nvSpPr>
      <xdr:spPr>
        <a:xfrm>
          <a:off x="11325225" y="13658850"/>
          <a:ext cx="6057900" cy="1571625"/>
        </a:xfrm>
        <a:prstGeom prst="rect">
          <a:avLst/>
        </a:prstGeom>
        <a:solidFill>
          <a:srgbClr val="FFFF99"/>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lang="fi-FI" sz="1100">
            <a:latin typeface="+mj-lt"/>
          </a:endParaRP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18</xdr:col>
      <xdr:colOff>0</xdr:colOff>
      <xdr:row>47</xdr:row>
      <xdr:rowOff>90487</xdr:rowOff>
    </xdr:from>
    <xdr:to>
      <xdr:col>27</xdr:col>
      <xdr:colOff>9525</xdr:colOff>
      <xdr:row>67</xdr:row>
      <xdr:rowOff>19051</xdr:rowOff>
    </xdr:to>
    <xdr:graphicFrame macro="">
      <xdr:nvGraphicFramePr>
        <xdr:cNvPr id="2" name="Kaavio 1">
          <a:extLst>
            <a:ext uri="{FF2B5EF4-FFF2-40B4-BE49-F238E27FC236}">
              <a16:creationId xmlns:a16="http://schemas.microsoft.com/office/drawing/2014/main" id="{00000000-0008-0000-0C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23</xdr:col>
      <xdr:colOff>657225</xdr:colOff>
      <xdr:row>49</xdr:row>
      <xdr:rowOff>85725</xdr:rowOff>
    </xdr:from>
    <xdr:to>
      <xdr:col>26</xdr:col>
      <xdr:colOff>638175</xdr:colOff>
      <xdr:row>52</xdr:row>
      <xdr:rowOff>123825</xdr:rowOff>
    </xdr:to>
    <xdr:sp macro="" textlink="">
      <xdr:nvSpPr>
        <xdr:cNvPr id="4" name="Tekstiruutu 3">
          <a:extLst>
            <a:ext uri="{FF2B5EF4-FFF2-40B4-BE49-F238E27FC236}">
              <a16:creationId xmlns:a16="http://schemas.microsoft.com/office/drawing/2014/main" id="{00000000-0008-0000-0C00-000004000000}"/>
            </a:ext>
          </a:extLst>
        </xdr:cNvPr>
        <xdr:cNvSpPr txBox="1"/>
      </xdr:nvSpPr>
      <xdr:spPr>
        <a:xfrm>
          <a:off x="15154275" y="10096500"/>
          <a:ext cx="2124075" cy="609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fi-FI" sz="1100">
              <a:latin typeface="+mj-lt"/>
            </a:rPr>
            <a:t>Vertaile omaa laskelmaa hyvää ja erinomaista tulosta tekevän tilan tuotantokustannukseen</a:t>
          </a:r>
        </a:p>
      </xdr:txBody>
    </xdr:sp>
    <xdr:clientData/>
  </xdr:twoCellAnchor>
  <xdr:twoCellAnchor>
    <xdr:from>
      <xdr:col>22</xdr:col>
      <xdr:colOff>704850</xdr:colOff>
      <xdr:row>0</xdr:row>
      <xdr:rowOff>28575</xdr:rowOff>
    </xdr:from>
    <xdr:to>
      <xdr:col>25</xdr:col>
      <xdr:colOff>9525</xdr:colOff>
      <xdr:row>1</xdr:row>
      <xdr:rowOff>85725</xdr:rowOff>
    </xdr:to>
    <xdr:sp macro="" textlink="">
      <xdr:nvSpPr>
        <xdr:cNvPr id="5" name="Nuoli oikealle 4">
          <a:hlinkClick xmlns:r="http://schemas.openxmlformats.org/officeDocument/2006/relationships" r:id="rId2"/>
          <a:extLst>
            <a:ext uri="{FF2B5EF4-FFF2-40B4-BE49-F238E27FC236}">
              <a16:creationId xmlns:a16="http://schemas.microsoft.com/office/drawing/2014/main" id="{00000000-0008-0000-0C00-000005000000}"/>
            </a:ext>
          </a:extLst>
        </xdr:cNvPr>
        <xdr:cNvSpPr/>
      </xdr:nvSpPr>
      <xdr:spPr>
        <a:xfrm>
          <a:off x="14487525" y="28575"/>
          <a:ext cx="1447800" cy="371475"/>
        </a:xfrm>
        <a:prstGeom prst="rightArrow">
          <a:avLst/>
        </a:prstGeom>
        <a:solidFill>
          <a:schemeClr val="accent4">
            <a:lumMod val="75000"/>
          </a:schemeClr>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fi-FI" sz="1100"/>
            <a:t>Laskelmien vertailu</a:t>
          </a:r>
        </a:p>
      </xdr:txBody>
    </xdr:sp>
    <xdr:clientData/>
  </xdr:twoCellAnchor>
  <xdr:twoCellAnchor>
    <xdr:from>
      <xdr:col>39</xdr:col>
      <xdr:colOff>3305175</xdr:colOff>
      <xdr:row>0</xdr:row>
      <xdr:rowOff>47625</xdr:rowOff>
    </xdr:from>
    <xdr:to>
      <xdr:col>39</xdr:col>
      <xdr:colOff>4772025</xdr:colOff>
      <xdr:row>1</xdr:row>
      <xdr:rowOff>66675</xdr:rowOff>
    </xdr:to>
    <xdr:sp macro="" textlink="">
      <xdr:nvSpPr>
        <xdr:cNvPr id="6" name="Nuoli vasemmalle 5">
          <a:hlinkClick xmlns:r="http://schemas.openxmlformats.org/officeDocument/2006/relationships" r:id="rId3"/>
          <a:extLst>
            <a:ext uri="{FF2B5EF4-FFF2-40B4-BE49-F238E27FC236}">
              <a16:creationId xmlns:a16="http://schemas.microsoft.com/office/drawing/2014/main" id="{00000000-0008-0000-0C00-000006000000}"/>
            </a:ext>
          </a:extLst>
        </xdr:cNvPr>
        <xdr:cNvSpPr/>
      </xdr:nvSpPr>
      <xdr:spPr>
        <a:xfrm>
          <a:off x="25622250" y="47625"/>
          <a:ext cx="1466850" cy="333375"/>
        </a:xfrm>
        <a:prstGeom prst="leftArrow">
          <a:avLst/>
        </a:prstGeom>
        <a:solidFill>
          <a:srgbClr val="FF66FF"/>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i-FI" sz="1100"/>
            <a:t>Palaa alkuun</a:t>
          </a:r>
        </a:p>
      </xdr:txBody>
    </xdr:sp>
    <xdr:clientData/>
  </xdr:twoCellAnchor>
  <xdr:twoCellAnchor>
    <xdr:from>
      <xdr:col>22</xdr:col>
      <xdr:colOff>161925</xdr:colOff>
      <xdr:row>0</xdr:row>
      <xdr:rowOff>28574</xdr:rowOff>
    </xdr:from>
    <xdr:to>
      <xdr:col>22</xdr:col>
      <xdr:colOff>561975</xdr:colOff>
      <xdr:row>0</xdr:row>
      <xdr:rowOff>314325</xdr:rowOff>
    </xdr:to>
    <xdr:sp macro="" textlink="">
      <xdr:nvSpPr>
        <xdr:cNvPr id="8" name="Alanuoli 7">
          <a:hlinkClick xmlns:r="http://schemas.openxmlformats.org/officeDocument/2006/relationships" r:id="rId4"/>
          <a:extLst>
            <a:ext uri="{FF2B5EF4-FFF2-40B4-BE49-F238E27FC236}">
              <a16:creationId xmlns:a16="http://schemas.microsoft.com/office/drawing/2014/main" id="{00000000-0008-0000-0C00-000008000000}"/>
            </a:ext>
          </a:extLst>
        </xdr:cNvPr>
        <xdr:cNvSpPr/>
      </xdr:nvSpPr>
      <xdr:spPr>
        <a:xfrm>
          <a:off x="13944600" y="28574"/>
          <a:ext cx="400050" cy="285751"/>
        </a:xfrm>
        <a:prstGeom prst="downArrow">
          <a:avLst/>
        </a:prstGeom>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i-FI" sz="1100"/>
        </a:p>
      </xdr:txBody>
    </xdr:sp>
    <xdr:clientData/>
  </xdr:twoCellAnchor>
  <xdr:twoCellAnchor>
    <xdr:from>
      <xdr:col>14</xdr:col>
      <xdr:colOff>581024</xdr:colOff>
      <xdr:row>3</xdr:row>
      <xdr:rowOff>19049</xdr:rowOff>
    </xdr:from>
    <xdr:to>
      <xdr:col>17</xdr:col>
      <xdr:colOff>123824</xdr:colOff>
      <xdr:row>10</xdr:row>
      <xdr:rowOff>238125</xdr:rowOff>
    </xdr:to>
    <xdr:graphicFrame macro="">
      <xdr:nvGraphicFramePr>
        <xdr:cNvPr id="9" name="Kaavio 8">
          <a:extLst>
            <a:ext uri="{FF2B5EF4-FFF2-40B4-BE49-F238E27FC236}">
              <a16:creationId xmlns:a16="http://schemas.microsoft.com/office/drawing/2014/main" id="{00000000-0008-0000-0C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171450</xdr:colOff>
      <xdr:row>47</xdr:row>
      <xdr:rowOff>66675</xdr:rowOff>
    </xdr:from>
    <xdr:to>
      <xdr:col>17</xdr:col>
      <xdr:colOff>9525</xdr:colOff>
      <xdr:row>67</xdr:row>
      <xdr:rowOff>9525</xdr:rowOff>
    </xdr:to>
    <xdr:graphicFrame macro="">
      <xdr:nvGraphicFramePr>
        <xdr:cNvPr id="10" name="Kaavio 9">
          <a:extLst>
            <a:ext uri="{FF2B5EF4-FFF2-40B4-BE49-F238E27FC236}">
              <a16:creationId xmlns:a16="http://schemas.microsoft.com/office/drawing/2014/main" id="{00000000-0008-0000-0C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39</xdr:col>
      <xdr:colOff>0</xdr:colOff>
      <xdr:row>11</xdr:row>
      <xdr:rowOff>38100</xdr:rowOff>
    </xdr:from>
    <xdr:to>
      <xdr:col>40</xdr:col>
      <xdr:colOff>0</xdr:colOff>
      <xdr:row>27</xdr:row>
      <xdr:rowOff>0</xdr:rowOff>
    </xdr:to>
    <xdr:sp macro="" textlink="" fLocksText="0">
      <xdr:nvSpPr>
        <xdr:cNvPr id="12" name="Tekstiruutu 11">
          <a:extLst>
            <a:ext uri="{FF2B5EF4-FFF2-40B4-BE49-F238E27FC236}">
              <a16:creationId xmlns:a16="http://schemas.microsoft.com/office/drawing/2014/main" id="{00000000-0008-0000-0C00-00000C000000}"/>
            </a:ext>
          </a:extLst>
        </xdr:cNvPr>
        <xdr:cNvSpPr txBox="1"/>
      </xdr:nvSpPr>
      <xdr:spPr>
        <a:xfrm>
          <a:off x="22317075" y="2495550"/>
          <a:ext cx="4800600" cy="3228975"/>
        </a:xfrm>
        <a:prstGeom prst="rect">
          <a:avLst/>
        </a:prstGeom>
        <a:solidFill>
          <a:srgbClr val="FFFF99"/>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lang="fi-FI" sz="1100">
            <a:latin typeface="+mj-lt"/>
          </a:endParaRPr>
        </a:p>
      </xdr:txBody>
    </xdr:sp>
    <xdr:clientData/>
  </xdr:twoCellAnchor>
  <xdr:twoCellAnchor>
    <xdr:from>
      <xdr:col>39</xdr:col>
      <xdr:colOff>0</xdr:colOff>
      <xdr:row>27</xdr:row>
      <xdr:rowOff>38101</xdr:rowOff>
    </xdr:from>
    <xdr:to>
      <xdr:col>40</xdr:col>
      <xdr:colOff>0</xdr:colOff>
      <xdr:row>33</xdr:row>
      <xdr:rowOff>190501</xdr:rowOff>
    </xdr:to>
    <xdr:sp macro="" textlink="" fLocksText="0">
      <xdr:nvSpPr>
        <xdr:cNvPr id="13" name="Tekstiruutu 12">
          <a:extLst>
            <a:ext uri="{FF2B5EF4-FFF2-40B4-BE49-F238E27FC236}">
              <a16:creationId xmlns:a16="http://schemas.microsoft.com/office/drawing/2014/main" id="{00000000-0008-0000-0C00-00000D000000}"/>
            </a:ext>
          </a:extLst>
        </xdr:cNvPr>
        <xdr:cNvSpPr txBox="1"/>
      </xdr:nvSpPr>
      <xdr:spPr>
        <a:xfrm>
          <a:off x="22317075" y="5762626"/>
          <a:ext cx="4800600" cy="1304925"/>
        </a:xfrm>
        <a:prstGeom prst="rect">
          <a:avLst/>
        </a:prstGeom>
        <a:solidFill>
          <a:srgbClr val="FFFF99"/>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lang="fi-FI" sz="1100">
            <a:latin typeface="+mj-lt"/>
          </a:endParaRPr>
        </a:p>
      </xdr:txBody>
    </xdr:sp>
    <xdr:clientData/>
  </xdr:twoCellAnchor>
  <xdr:twoCellAnchor>
    <xdr:from>
      <xdr:col>39</xdr:col>
      <xdr:colOff>0</xdr:colOff>
      <xdr:row>34</xdr:row>
      <xdr:rowOff>9525</xdr:rowOff>
    </xdr:from>
    <xdr:to>
      <xdr:col>40</xdr:col>
      <xdr:colOff>0</xdr:colOff>
      <xdr:row>45</xdr:row>
      <xdr:rowOff>171449</xdr:rowOff>
    </xdr:to>
    <xdr:sp macro="" textlink="" fLocksText="0">
      <xdr:nvSpPr>
        <xdr:cNvPr id="14" name="Tekstiruutu 13">
          <a:extLst>
            <a:ext uri="{FF2B5EF4-FFF2-40B4-BE49-F238E27FC236}">
              <a16:creationId xmlns:a16="http://schemas.microsoft.com/office/drawing/2014/main" id="{00000000-0008-0000-0C00-00000E000000}"/>
            </a:ext>
          </a:extLst>
        </xdr:cNvPr>
        <xdr:cNvSpPr txBox="1"/>
      </xdr:nvSpPr>
      <xdr:spPr>
        <a:xfrm>
          <a:off x="22317075" y="7096125"/>
          <a:ext cx="4800600" cy="2324099"/>
        </a:xfrm>
        <a:prstGeom prst="rect">
          <a:avLst/>
        </a:prstGeom>
        <a:solidFill>
          <a:srgbClr val="FFFF99"/>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lang="fi-FI" sz="1100">
            <a:latin typeface="+mj-lt"/>
          </a:endParaRPr>
        </a:p>
      </xdr:txBody>
    </xdr:sp>
    <xdr:clientData/>
  </xdr:twoCellAnchor>
  <xdr:twoCellAnchor>
    <xdr:from>
      <xdr:col>36</xdr:col>
      <xdr:colOff>1</xdr:colOff>
      <xdr:row>47</xdr:row>
      <xdr:rowOff>104774</xdr:rowOff>
    </xdr:from>
    <xdr:to>
      <xdr:col>40</xdr:col>
      <xdr:colOff>0</xdr:colOff>
      <xdr:row>67</xdr:row>
      <xdr:rowOff>9525</xdr:rowOff>
    </xdr:to>
    <xdr:sp macro="" textlink="" fLocksText="0">
      <xdr:nvSpPr>
        <xdr:cNvPr id="17" name="Tekstiruutu 16">
          <a:extLst>
            <a:ext uri="{FF2B5EF4-FFF2-40B4-BE49-F238E27FC236}">
              <a16:creationId xmlns:a16="http://schemas.microsoft.com/office/drawing/2014/main" id="{00000000-0008-0000-0C00-000011000000}"/>
            </a:ext>
          </a:extLst>
        </xdr:cNvPr>
        <xdr:cNvSpPr txBox="1"/>
      </xdr:nvSpPr>
      <xdr:spPr>
        <a:xfrm>
          <a:off x="17716501" y="9763124"/>
          <a:ext cx="9401174" cy="3714751"/>
        </a:xfrm>
        <a:prstGeom prst="rect">
          <a:avLst/>
        </a:prstGeom>
        <a:solidFill>
          <a:srgbClr val="FFFF99"/>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lang="fi-FI" sz="1100">
            <a:latin typeface="+mj-lt"/>
          </a:endParaRPr>
        </a:p>
      </xdr:txBody>
    </xdr:sp>
    <xdr:clientData/>
  </xdr:twoCellAnchor>
  <xdr:twoCellAnchor>
    <xdr:from>
      <xdr:col>25</xdr:col>
      <xdr:colOff>361950</xdr:colOff>
      <xdr:row>78</xdr:row>
      <xdr:rowOff>9525</xdr:rowOff>
    </xdr:from>
    <xdr:to>
      <xdr:col>26</xdr:col>
      <xdr:colOff>609600</xdr:colOff>
      <xdr:row>81</xdr:row>
      <xdr:rowOff>171450</xdr:rowOff>
    </xdr:to>
    <xdr:sp macro="" textlink="">
      <xdr:nvSpPr>
        <xdr:cNvPr id="18" name="Pyöristetty suorakulmio 17" descr="Klikkaa tästä!" title="Siirry alkuun">
          <a:hlinkClick xmlns:r="http://schemas.openxmlformats.org/officeDocument/2006/relationships" r:id="rId7"/>
          <a:extLst>
            <a:ext uri="{FF2B5EF4-FFF2-40B4-BE49-F238E27FC236}">
              <a16:creationId xmlns:a16="http://schemas.microsoft.com/office/drawing/2014/main" id="{00000000-0008-0000-0C00-000012000000}"/>
            </a:ext>
          </a:extLst>
        </xdr:cNvPr>
        <xdr:cNvSpPr/>
      </xdr:nvSpPr>
      <xdr:spPr>
        <a:xfrm>
          <a:off x="16287750" y="13830300"/>
          <a:ext cx="962025" cy="733425"/>
        </a:xfrm>
        <a:prstGeom prst="roundRect">
          <a:avLst/>
        </a:prstGeom>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fi-FI" sz="1600"/>
            <a:t>Siirry alkuun</a:t>
          </a:r>
        </a:p>
      </xdr:txBody>
    </xdr:sp>
    <xdr:clientData/>
  </xdr:twoCellAnchor>
  <xdr:twoCellAnchor>
    <xdr:from>
      <xdr:col>22</xdr:col>
      <xdr:colOff>523875</xdr:colOff>
      <xdr:row>78</xdr:row>
      <xdr:rowOff>19050</xdr:rowOff>
    </xdr:from>
    <xdr:to>
      <xdr:col>25</xdr:col>
      <xdr:colOff>180975</xdr:colOff>
      <xdr:row>81</xdr:row>
      <xdr:rowOff>180975</xdr:rowOff>
    </xdr:to>
    <xdr:sp macro="" textlink="">
      <xdr:nvSpPr>
        <xdr:cNvPr id="19" name="Pyöristetty suorakulmio 18" descr="Klikkaa tästä!" title="Siirry alkuun">
          <a:hlinkClick xmlns:r="http://schemas.openxmlformats.org/officeDocument/2006/relationships" r:id="rId8"/>
          <a:extLst>
            <a:ext uri="{FF2B5EF4-FFF2-40B4-BE49-F238E27FC236}">
              <a16:creationId xmlns:a16="http://schemas.microsoft.com/office/drawing/2014/main" id="{00000000-0008-0000-0C00-000013000000}"/>
            </a:ext>
          </a:extLst>
        </xdr:cNvPr>
        <xdr:cNvSpPr/>
      </xdr:nvSpPr>
      <xdr:spPr>
        <a:xfrm>
          <a:off x="14306550" y="13839825"/>
          <a:ext cx="1800225" cy="733425"/>
        </a:xfrm>
        <a:prstGeom prst="roundRect">
          <a:avLst/>
        </a:prstGeom>
        <a:solidFill>
          <a:srgbClr val="98F20F"/>
        </a:solidFill>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fi-FI" sz="1800"/>
            <a:t>Lähtötiedot</a:t>
          </a:r>
          <a:endParaRPr lang="fi-FI" sz="1400"/>
        </a:p>
      </xdr:txBody>
    </xdr:sp>
    <xdr:clientData/>
  </xdr:twoCellAnchor>
  <xdr:twoCellAnchor editAs="oneCell">
    <xdr:from>
      <xdr:col>1</xdr:col>
      <xdr:colOff>0</xdr:colOff>
      <xdr:row>0</xdr:row>
      <xdr:rowOff>0</xdr:rowOff>
    </xdr:from>
    <xdr:to>
      <xdr:col>3</xdr:col>
      <xdr:colOff>228600</xdr:colOff>
      <xdr:row>0</xdr:row>
      <xdr:rowOff>339138</xdr:rowOff>
    </xdr:to>
    <xdr:pic>
      <xdr:nvPicPr>
        <xdr:cNvPr id="20" name="Kuva 19">
          <a:extLst>
            <a:ext uri="{FF2B5EF4-FFF2-40B4-BE49-F238E27FC236}">
              <a16:creationId xmlns:a16="http://schemas.microsoft.com/office/drawing/2014/main" id="{00000000-0008-0000-0C00-000014000000}"/>
            </a:ext>
          </a:extLst>
        </xdr:cNvPr>
        <xdr:cNvPicPr>
          <a:picLocks noChangeAspect="1"/>
        </xdr:cNvPicPr>
      </xdr:nvPicPr>
      <xdr:blipFill rotWithShape="1">
        <a:blip xmlns:r="http://schemas.openxmlformats.org/officeDocument/2006/relationships" r:embed="rId9"/>
        <a:srcRect l="4914" t="19635" r="9124" b="32923"/>
        <a:stretch/>
      </xdr:blipFill>
      <xdr:spPr>
        <a:xfrm>
          <a:off x="180975" y="0"/>
          <a:ext cx="1123950" cy="339138"/>
        </a:xfrm>
        <a:prstGeom prst="rect">
          <a:avLst/>
        </a:prstGeom>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pic>
    <xdr:clientData/>
  </xdr:twoCellAnchor>
  <xdr:twoCellAnchor>
    <xdr:from>
      <xdr:col>21</xdr:col>
      <xdr:colOff>28575</xdr:colOff>
      <xdr:row>2</xdr:row>
      <xdr:rowOff>19051</xdr:rowOff>
    </xdr:from>
    <xdr:to>
      <xdr:col>26</xdr:col>
      <xdr:colOff>685800</xdr:colOff>
      <xdr:row>7</xdr:row>
      <xdr:rowOff>133350</xdr:rowOff>
    </xdr:to>
    <xdr:sp macro="" textlink="">
      <xdr:nvSpPr>
        <xdr:cNvPr id="24" name="Tekstiruutu 23">
          <a:extLst>
            <a:ext uri="{FF2B5EF4-FFF2-40B4-BE49-F238E27FC236}">
              <a16:creationId xmlns:a16="http://schemas.microsoft.com/office/drawing/2014/main" id="{00000000-0008-0000-0C00-000018000000}"/>
            </a:ext>
          </a:extLst>
        </xdr:cNvPr>
        <xdr:cNvSpPr txBox="1"/>
      </xdr:nvSpPr>
      <xdr:spPr>
        <a:xfrm>
          <a:off x="13096875" y="542926"/>
          <a:ext cx="4229100" cy="1238249"/>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050">
              <a:latin typeface="+mj-lt"/>
            </a:rPr>
            <a:t>Tällä</a:t>
          </a:r>
          <a:r>
            <a:rPr lang="fi-FI" sz="1050" baseline="0">
              <a:latin typeface="+mj-lt"/>
            </a:rPr>
            <a:t> sivulla lasketaan lihahiehon tuotantokustannus </a:t>
          </a:r>
        </a:p>
        <a:p>
          <a:r>
            <a:rPr lang="fi-FI" sz="900" baseline="0">
              <a:latin typeface="+mj-lt"/>
            </a:rPr>
            <a:t>   Lihahiehon tuotantokustannus on laskelmassa esitetty myös säilörehun </a:t>
          </a:r>
        </a:p>
        <a:p>
          <a:r>
            <a:rPr lang="fi-FI" sz="900" baseline="0">
              <a:latin typeface="+mj-lt"/>
            </a:rPr>
            <a:t>   markkinahinnalla laskettuna, joka paljastaa rehuntuotannon kalleuden/edullisuuden</a:t>
          </a:r>
        </a:p>
        <a:p>
          <a:pPr marL="0" marR="0" lvl="0" indent="0" defTabSz="914400" eaLnBrk="1" fontAlgn="auto" latinLnBrk="0" hangingPunct="1">
            <a:lnSpc>
              <a:spcPct val="100000"/>
            </a:lnSpc>
            <a:spcBef>
              <a:spcPts val="0"/>
            </a:spcBef>
            <a:spcAft>
              <a:spcPts val="0"/>
            </a:spcAft>
            <a:buClrTx/>
            <a:buSzTx/>
            <a:buFontTx/>
            <a:buNone/>
            <a:tabLst/>
            <a:defRPr/>
          </a:pPr>
          <a:r>
            <a:rPr lang="fi-FI" sz="900" baseline="0">
              <a:latin typeface="+mj-lt"/>
            </a:rPr>
            <a:t>1. Muuta tarvittaessa lähtötietoja (vihreä solu) </a:t>
          </a:r>
        </a:p>
        <a:p>
          <a:pPr marL="0" marR="0" lvl="0" indent="0" defTabSz="914400" eaLnBrk="1" fontAlgn="auto" latinLnBrk="0" hangingPunct="1">
            <a:lnSpc>
              <a:spcPct val="100000"/>
            </a:lnSpc>
            <a:spcBef>
              <a:spcPts val="0"/>
            </a:spcBef>
            <a:spcAft>
              <a:spcPts val="0"/>
            </a:spcAft>
            <a:buClrTx/>
            <a:buSzTx/>
            <a:buFontTx/>
            <a:buNone/>
            <a:tabLst/>
            <a:defRPr/>
          </a:pPr>
          <a:r>
            <a:rPr lang="fi-FI" sz="900">
              <a:solidFill>
                <a:schemeClr val="dk1"/>
              </a:solidFill>
              <a:effectLst/>
              <a:latin typeface="+mj-lt"/>
              <a:ea typeface="+mn-ea"/>
              <a:cs typeface="+mn-cs"/>
            </a:rPr>
            <a:t>      - Toimenpide poistaa automaattisen</a:t>
          </a:r>
          <a:r>
            <a:rPr lang="fi-FI" sz="900" baseline="0">
              <a:solidFill>
                <a:schemeClr val="dk1"/>
              </a:solidFill>
              <a:effectLst/>
              <a:latin typeface="+mj-lt"/>
              <a:ea typeface="+mn-ea"/>
              <a:cs typeface="+mn-cs"/>
            </a:rPr>
            <a:t> kaavan, joten </a:t>
          </a:r>
          <a:r>
            <a:rPr lang="fi-FI" sz="900">
              <a:solidFill>
                <a:schemeClr val="dk1"/>
              </a:solidFill>
              <a:effectLst/>
              <a:latin typeface="+mj-lt"/>
              <a:ea typeface="+mn-ea"/>
              <a:cs typeface="+mn-cs"/>
            </a:rPr>
            <a:t>tallenna ensin eri versiona.</a:t>
          </a:r>
          <a:endParaRPr lang="fi-FI" sz="900">
            <a:effectLst/>
            <a:latin typeface="+mj-lt"/>
          </a:endParaRPr>
        </a:p>
        <a:p>
          <a:r>
            <a:rPr lang="fi-FI" sz="900" baseline="0">
              <a:latin typeface="+mj-lt"/>
            </a:rPr>
            <a:t>2. Vertaile lihantuotantokustannusta (hyvä, erinomainen)</a:t>
          </a:r>
        </a:p>
        <a:p>
          <a:r>
            <a:rPr lang="fi-FI" sz="900" baseline="0">
              <a:latin typeface="+mj-lt"/>
            </a:rPr>
            <a:t>3. Pohdi millä toimenpiteillä kustannuksia voidaan alentaa?</a:t>
          </a:r>
          <a:endParaRPr lang="fi-FI" sz="900">
            <a:latin typeface="+mj-lt"/>
          </a:endParaRPr>
        </a:p>
      </xdr:txBody>
    </xdr:sp>
    <xdr:clientData/>
  </xdr:twoCellAnchor>
  <xdr:twoCellAnchor>
    <xdr:from>
      <xdr:col>35</xdr:col>
      <xdr:colOff>180974</xdr:colOff>
      <xdr:row>3</xdr:row>
      <xdr:rowOff>0</xdr:rowOff>
    </xdr:from>
    <xdr:to>
      <xdr:col>37</xdr:col>
      <xdr:colOff>2438399</xdr:colOff>
      <xdr:row>7</xdr:row>
      <xdr:rowOff>114300</xdr:rowOff>
    </xdr:to>
    <xdr:sp macro="" textlink="">
      <xdr:nvSpPr>
        <xdr:cNvPr id="25" name="Tekstiruutu 24">
          <a:extLst>
            <a:ext uri="{FF2B5EF4-FFF2-40B4-BE49-F238E27FC236}">
              <a16:creationId xmlns:a16="http://schemas.microsoft.com/office/drawing/2014/main" id="{00000000-0008-0000-0C00-000019000000}"/>
            </a:ext>
          </a:extLst>
        </xdr:cNvPr>
        <xdr:cNvSpPr txBox="1"/>
      </xdr:nvSpPr>
      <xdr:spPr>
        <a:xfrm>
          <a:off x="17716499" y="771525"/>
          <a:ext cx="4410075" cy="990600"/>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100" baseline="0">
              <a:solidFill>
                <a:schemeClr val="dk1"/>
              </a:solidFill>
              <a:effectLst/>
              <a:latin typeface="+mj-lt"/>
              <a:ea typeface="+mn-ea"/>
              <a:cs typeface="+mn-cs"/>
            </a:rPr>
            <a:t>Vertaile lihantuotantokustannusta (hyvä, erinomainen)</a:t>
          </a:r>
          <a:endParaRPr lang="fi-FI" sz="1000">
            <a:effectLst/>
            <a:latin typeface="+mj-lt"/>
          </a:endParaRPr>
        </a:p>
      </xdr:txBody>
    </xdr:sp>
    <xdr:clientData/>
  </xdr:twoCellAnchor>
  <xdr:twoCellAnchor>
    <xdr:from>
      <xdr:col>39</xdr:col>
      <xdr:colOff>9524</xdr:colOff>
      <xdr:row>2</xdr:row>
      <xdr:rowOff>238125</xdr:rowOff>
    </xdr:from>
    <xdr:to>
      <xdr:col>40</xdr:col>
      <xdr:colOff>0</xdr:colOff>
      <xdr:row>7</xdr:row>
      <xdr:rowOff>104775</xdr:rowOff>
    </xdr:to>
    <xdr:sp macro="" textlink="">
      <xdr:nvSpPr>
        <xdr:cNvPr id="26" name="Tekstiruutu 25">
          <a:extLst>
            <a:ext uri="{FF2B5EF4-FFF2-40B4-BE49-F238E27FC236}">
              <a16:creationId xmlns:a16="http://schemas.microsoft.com/office/drawing/2014/main" id="{00000000-0008-0000-0C00-00001A000000}"/>
            </a:ext>
          </a:extLst>
        </xdr:cNvPr>
        <xdr:cNvSpPr txBox="1"/>
      </xdr:nvSpPr>
      <xdr:spPr>
        <a:xfrm>
          <a:off x="22326599" y="762000"/>
          <a:ext cx="4791076" cy="990600"/>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lang="fi-FI" sz="1100" baseline="0">
              <a:solidFill>
                <a:schemeClr val="dk1"/>
              </a:solidFill>
              <a:effectLst/>
              <a:latin typeface="+mj-lt"/>
              <a:ea typeface="+mn-ea"/>
              <a:cs typeface="+mn-cs"/>
            </a:rPr>
            <a:t>Pohdi millä toimenpiteillä kustannuksia voidaan alentaa?</a:t>
          </a:r>
        </a:p>
      </xdr:txBody>
    </xdr:sp>
    <xdr:clientData/>
  </xdr:twoCellAnchor>
  <xdr:twoCellAnchor>
    <xdr:from>
      <xdr:col>7</xdr:col>
      <xdr:colOff>0</xdr:colOff>
      <xdr:row>38</xdr:row>
      <xdr:rowOff>0</xdr:rowOff>
    </xdr:from>
    <xdr:to>
      <xdr:col>9</xdr:col>
      <xdr:colOff>9525</xdr:colOff>
      <xdr:row>46</xdr:row>
      <xdr:rowOff>0</xdr:rowOff>
    </xdr:to>
    <xdr:sp macro="" textlink="">
      <xdr:nvSpPr>
        <xdr:cNvPr id="21" name="Tekstiruutu 20">
          <a:extLst>
            <a:ext uri="{FF2B5EF4-FFF2-40B4-BE49-F238E27FC236}">
              <a16:creationId xmlns:a16="http://schemas.microsoft.com/office/drawing/2014/main" id="{00000000-0008-0000-0C00-000015000000}"/>
            </a:ext>
          </a:extLst>
        </xdr:cNvPr>
        <xdr:cNvSpPr txBox="1"/>
      </xdr:nvSpPr>
      <xdr:spPr>
        <a:xfrm>
          <a:off x="3933825" y="7905750"/>
          <a:ext cx="1571625" cy="1562100"/>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050">
              <a:latin typeface="+mj-lt"/>
            </a:rPr>
            <a:t>Vertaile katetuottoja</a:t>
          </a:r>
          <a:r>
            <a:rPr lang="fi-FI" sz="1050" baseline="0">
              <a:latin typeface="+mj-lt"/>
            </a:rPr>
            <a:t> hyvää ja erinomaista tulosta tekeviin tiloihin.</a:t>
          </a:r>
        </a:p>
        <a:p>
          <a:endParaRPr lang="fi-FI" sz="1050" baseline="0">
            <a:latin typeface="+mj-lt"/>
          </a:endParaRPr>
        </a:p>
        <a:p>
          <a:r>
            <a:rPr lang="fi-FI" sz="1050" baseline="0">
              <a:latin typeface="+mj-lt"/>
            </a:rPr>
            <a:t>Miten oman tilan tulos pärjää vertailussa?</a:t>
          </a:r>
        </a:p>
        <a:p>
          <a:endParaRPr lang="fi-FI" sz="1050" baseline="0">
            <a:latin typeface="+mj-lt"/>
          </a:endParaRPr>
        </a:p>
        <a:p>
          <a:r>
            <a:rPr lang="fi-FI" sz="1050" baseline="0">
              <a:latin typeface="+mj-lt"/>
            </a:rPr>
            <a:t>Selvitä mistä erot johtuvat?</a:t>
          </a:r>
          <a:endParaRPr lang="fi-FI" sz="900">
            <a:latin typeface="+mj-lt"/>
          </a:endParaRPr>
        </a:p>
      </xdr:txBody>
    </xdr:sp>
    <xdr:clientData/>
  </xdr:twoCellAnchor>
  <xdr:twoCellAnchor>
    <xdr:from>
      <xdr:col>0</xdr:col>
      <xdr:colOff>161925</xdr:colOff>
      <xdr:row>47</xdr:row>
      <xdr:rowOff>76200</xdr:rowOff>
    </xdr:from>
    <xdr:to>
      <xdr:col>9</xdr:col>
      <xdr:colOff>9526</xdr:colOff>
      <xdr:row>67</xdr:row>
      <xdr:rowOff>0</xdr:rowOff>
    </xdr:to>
    <xdr:graphicFrame macro="">
      <xdr:nvGraphicFramePr>
        <xdr:cNvPr id="22" name="Kaavio 21">
          <a:extLst>
            <a:ext uri="{FF2B5EF4-FFF2-40B4-BE49-F238E27FC236}">
              <a16:creationId xmlns:a16="http://schemas.microsoft.com/office/drawing/2014/main" id="{00000000-0008-0000-0C00-00001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xdr:col>
      <xdr:colOff>0</xdr:colOff>
      <xdr:row>68</xdr:row>
      <xdr:rowOff>0</xdr:rowOff>
    </xdr:from>
    <xdr:to>
      <xdr:col>9</xdr:col>
      <xdr:colOff>0</xdr:colOff>
      <xdr:row>76</xdr:row>
      <xdr:rowOff>47625</xdr:rowOff>
    </xdr:to>
    <xdr:sp macro="" textlink="" fLocksText="0">
      <xdr:nvSpPr>
        <xdr:cNvPr id="23" name="Tekstiruutu 22">
          <a:extLst>
            <a:ext uri="{FF2B5EF4-FFF2-40B4-BE49-F238E27FC236}">
              <a16:creationId xmlns:a16="http://schemas.microsoft.com/office/drawing/2014/main" id="{00000000-0008-0000-0C00-000017000000}"/>
            </a:ext>
          </a:extLst>
        </xdr:cNvPr>
        <xdr:cNvSpPr txBox="1"/>
      </xdr:nvSpPr>
      <xdr:spPr>
        <a:xfrm>
          <a:off x="180975" y="13658850"/>
          <a:ext cx="5314950" cy="1571625"/>
        </a:xfrm>
        <a:prstGeom prst="rect">
          <a:avLst/>
        </a:prstGeom>
        <a:solidFill>
          <a:srgbClr val="FFFF99"/>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lang="fi-FI" sz="1100">
            <a:latin typeface="+mj-lt"/>
          </a:endParaRPr>
        </a:p>
      </xdr:txBody>
    </xdr:sp>
    <xdr:clientData/>
  </xdr:twoCellAnchor>
  <xdr:twoCellAnchor>
    <xdr:from>
      <xdr:col>9</xdr:col>
      <xdr:colOff>180974</xdr:colOff>
      <xdr:row>68</xdr:row>
      <xdr:rowOff>0</xdr:rowOff>
    </xdr:from>
    <xdr:to>
      <xdr:col>17</xdr:col>
      <xdr:colOff>9524</xdr:colOff>
      <xdr:row>76</xdr:row>
      <xdr:rowOff>47625</xdr:rowOff>
    </xdr:to>
    <xdr:sp macro="" textlink="" fLocksText="0">
      <xdr:nvSpPr>
        <xdr:cNvPr id="27" name="Tekstiruutu 26">
          <a:extLst>
            <a:ext uri="{FF2B5EF4-FFF2-40B4-BE49-F238E27FC236}">
              <a16:creationId xmlns:a16="http://schemas.microsoft.com/office/drawing/2014/main" id="{00000000-0008-0000-0C00-00001B000000}"/>
            </a:ext>
          </a:extLst>
        </xdr:cNvPr>
        <xdr:cNvSpPr txBox="1"/>
      </xdr:nvSpPr>
      <xdr:spPr>
        <a:xfrm>
          <a:off x="5676899" y="13658850"/>
          <a:ext cx="5476875" cy="1571625"/>
        </a:xfrm>
        <a:prstGeom prst="rect">
          <a:avLst/>
        </a:prstGeom>
        <a:solidFill>
          <a:srgbClr val="FFFF99"/>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lang="fi-FI" sz="1100">
            <a:latin typeface="+mj-lt"/>
          </a:endParaRPr>
        </a:p>
      </xdr:txBody>
    </xdr:sp>
    <xdr:clientData/>
  </xdr:twoCellAnchor>
  <xdr:twoCellAnchor>
    <xdr:from>
      <xdr:col>18</xdr:col>
      <xdr:colOff>0</xdr:colOff>
      <xdr:row>68</xdr:row>
      <xdr:rowOff>0</xdr:rowOff>
    </xdr:from>
    <xdr:to>
      <xdr:col>27</xdr:col>
      <xdr:colOff>28575</xdr:colOff>
      <xdr:row>76</xdr:row>
      <xdr:rowOff>47625</xdr:rowOff>
    </xdr:to>
    <xdr:sp macro="" textlink="" fLocksText="0">
      <xdr:nvSpPr>
        <xdr:cNvPr id="28" name="Tekstiruutu 27">
          <a:extLst>
            <a:ext uri="{FF2B5EF4-FFF2-40B4-BE49-F238E27FC236}">
              <a16:creationId xmlns:a16="http://schemas.microsoft.com/office/drawing/2014/main" id="{00000000-0008-0000-0C00-00001C000000}"/>
            </a:ext>
          </a:extLst>
        </xdr:cNvPr>
        <xdr:cNvSpPr txBox="1"/>
      </xdr:nvSpPr>
      <xdr:spPr>
        <a:xfrm>
          <a:off x="11325225" y="13658850"/>
          <a:ext cx="6057900" cy="1571625"/>
        </a:xfrm>
        <a:prstGeom prst="rect">
          <a:avLst/>
        </a:prstGeom>
        <a:solidFill>
          <a:srgbClr val="FFFF99"/>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lang="fi-FI" sz="1100">
            <a:latin typeface="+mj-lt"/>
          </a:endParaRP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1</xdr:col>
      <xdr:colOff>0</xdr:colOff>
      <xdr:row>4</xdr:row>
      <xdr:rowOff>28575</xdr:rowOff>
    </xdr:from>
    <xdr:to>
      <xdr:col>10</xdr:col>
      <xdr:colOff>0</xdr:colOff>
      <xdr:row>13</xdr:row>
      <xdr:rowOff>0</xdr:rowOff>
    </xdr:to>
    <xdr:sp macro="" textlink="" fLocksText="0">
      <xdr:nvSpPr>
        <xdr:cNvPr id="2" name="Tekstiruutu 1">
          <a:extLst>
            <a:ext uri="{FF2B5EF4-FFF2-40B4-BE49-F238E27FC236}">
              <a16:creationId xmlns:a16="http://schemas.microsoft.com/office/drawing/2014/main" id="{00000000-0008-0000-0D00-000002000000}"/>
            </a:ext>
          </a:extLst>
        </xdr:cNvPr>
        <xdr:cNvSpPr txBox="1"/>
      </xdr:nvSpPr>
      <xdr:spPr>
        <a:xfrm>
          <a:off x="180975" y="933450"/>
          <a:ext cx="4876800" cy="1685925"/>
        </a:xfrm>
        <a:prstGeom prst="rect">
          <a:avLst/>
        </a:prstGeom>
        <a:solidFill>
          <a:srgbClr val="FFFF99"/>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lang="fi-FI" sz="1100">
            <a:latin typeface="+mj-lt"/>
          </a:endParaRPr>
        </a:p>
      </xdr:txBody>
    </xdr:sp>
    <xdr:clientData/>
  </xdr:twoCellAnchor>
  <xdr:twoCellAnchor editAs="oneCell">
    <xdr:from>
      <xdr:col>1</xdr:col>
      <xdr:colOff>0</xdr:colOff>
      <xdr:row>0</xdr:row>
      <xdr:rowOff>0</xdr:rowOff>
    </xdr:from>
    <xdr:to>
      <xdr:col>2</xdr:col>
      <xdr:colOff>514350</xdr:colOff>
      <xdr:row>0</xdr:row>
      <xdr:rowOff>339138</xdr:rowOff>
    </xdr:to>
    <xdr:pic>
      <xdr:nvPicPr>
        <xdr:cNvPr id="5" name="Kuva 4">
          <a:extLst>
            <a:ext uri="{FF2B5EF4-FFF2-40B4-BE49-F238E27FC236}">
              <a16:creationId xmlns:a16="http://schemas.microsoft.com/office/drawing/2014/main" id="{00000000-0008-0000-0D00-000005000000}"/>
            </a:ext>
          </a:extLst>
        </xdr:cNvPr>
        <xdr:cNvPicPr>
          <a:picLocks noChangeAspect="1"/>
        </xdr:cNvPicPr>
      </xdr:nvPicPr>
      <xdr:blipFill rotWithShape="1">
        <a:blip xmlns:r="http://schemas.openxmlformats.org/officeDocument/2006/relationships" r:embed="rId1"/>
        <a:srcRect l="4914" t="19635" r="9124" b="32923"/>
        <a:stretch/>
      </xdr:blipFill>
      <xdr:spPr>
        <a:xfrm>
          <a:off x="180975" y="0"/>
          <a:ext cx="1123950" cy="339138"/>
        </a:xfrm>
        <a:prstGeom prst="rect">
          <a:avLst/>
        </a:prstGeom>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pic>
    <xdr:clientData/>
  </xdr:twoCellAnchor>
  <xdr:twoCellAnchor>
    <xdr:from>
      <xdr:col>1</xdr:col>
      <xdr:colOff>0</xdr:colOff>
      <xdr:row>15</xdr:row>
      <xdr:rowOff>19050</xdr:rowOff>
    </xdr:from>
    <xdr:to>
      <xdr:col>10</xdr:col>
      <xdr:colOff>0</xdr:colOff>
      <xdr:row>23</xdr:row>
      <xdr:rowOff>180975</xdr:rowOff>
    </xdr:to>
    <xdr:sp macro="" textlink="" fLocksText="0">
      <xdr:nvSpPr>
        <xdr:cNvPr id="6" name="Tekstiruutu 5">
          <a:extLst>
            <a:ext uri="{FF2B5EF4-FFF2-40B4-BE49-F238E27FC236}">
              <a16:creationId xmlns:a16="http://schemas.microsoft.com/office/drawing/2014/main" id="{00000000-0008-0000-0D00-000006000000}"/>
            </a:ext>
          </a:extLst>
        </xdr:cNvPr>
        <xdr:cNvSpPr txBox="1"/>
      </xdr:nvSpPr>
      <xdr:spPr>
        <a:xfrm>
          <a:off x="180975" y="3019425"/>
          <a:ext cx="4876800" cy="1685925"/>
        </a:xfrm>
        <a:prstGeom prst="rect">
          <a:avLst/>
        </a:prstGeom>
        <a:solidFill>
          <a:srgbClr val="FFFF99"/>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lang="fi-FI" sz="1100">
            <a:latin typeface="+mj-lt"/>
          </a:endParaRPr>
        </a:p>
      </xdr:txBody>
    </xdr:sp>
    <xdr:clientData/>
  </xdr:twoCellAnchor>
  <xdr:twoCellAnchor>
    <xdr:from>
      <xdr:col>1</xdr:col>
      <xdr:colOff>0</xdr:colOff>
      <xdr:row>26</xdr:row>
      <xdr:rowOff>19050</xdr:rowOff>
    </xdr:from>
    <xdr:to>
      <xdr:col>10</xdr:col>
      <xdr:colOff>0</xdr:colOff>
      <xdr:row>34</xdr:row>
      <xdr:rowOff>180975</xdr:rowOff>
    </xdr:to>
    <xdr:sp macro="" textlink="" fLocksText="0">
      <xdr:nvSpPr>
        <xdr:cNvPr id="7" name="Tekstiruutu 6">
          <a:extLst>
            <a:ext uri="{FF2B5EF4-FFF2-40B4-BE49-F238E27FC236}">
              <a16:creationId xmlns:a16="http://schemas.microsoft.com/office/drawing/2014/main" id="{00000000-0008-0000-0D00-000007000000}"/>
            </a:ext>
          </a:extLst>
        </xdr:cNvPr>
        <xdr:cNvSpPr txBox="1"/>
      </xdr:nvSpPr>
      <xdr:spPr>
        <a:xfrm>
          <a:off x="180975" y="5114925"/>
          <a:ext cx="4876800" cy="1685925"/>
        </a:xfrm>
        <a:prstGeom prst="rect">
          <a:avLst/>
        </a:prstGeom>
        <a:solidFill>
          <a:srgbClr val="FFFF99"/>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lang="fi-FI" sz="1100">
            <a:latin typeface="+mj-lt"/>
          </a:endParaRPr>
        </a:p>
      </xdr:txBody>
    </xdr:sp>
    <xdr:clientData/>
  </xdr:twoCellAnchor>
  <xdr:twoCellAnchor>
    <xdr:from>
      <xdr:col>1</xdr:col>
      <xdr:colOff>9525</xdr:colOff>
      <xdr:row>37</xdr:row>
      <xdr:rowOff>19050</xdr:rowOff>
    </xdr:from>
    <xdr:to>
      <xdr:col>10</xdr:col>
      <xdr:colOff>9525</xdr:colOff>
      <xdr:row>60</xdr:row>
      <xdr:rowOff>180975</xdr:rowOff>
    </xdr:to>
    <xdr:sp macro="" textlink="" fLocksText="0">
      <xdr:nvSpPr>
        <xdr:cNvPr id="8" name="Tekstiruutu 7">
          <a:extLst>
            <a:ext uri="{FF2B5EF4-FFF2-40B4-BE49-F238E27FC236}">
              <a16:creationId xmlns:a16="http://schemas.microsoft.com/office/drawing/2014/main" id="{00000000-0008-0000-0D00-000008000000}"/>
            </a:ext>
          </a:extLst>
        </xdr:cNvPr>
        <xdr:cNvSpPr txBox="1"/>
      </xdr:nvSpPr>
      <xdr:spPr>
        <a:xfrm>
          <a:off x="190500" y="7210425"/>
          <a:ext cx="4876800" cy="1685925"/>
        </a:xfrm>
        <a:prstGeom prst="rect">
          <a:avLst/>
        </a:prstGeom>
        <a:solidFill>
          <a:srgbClr val="FFFF99"/>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lang="fi-FI" sz="1100">
            <a:latin typeface="+mj-lt"/>
          </a:endParaRPr>
        </a:p>
      </xdr:txBody>
    </xdr:sp>
    <xdr:clientData/>
  </xdr:twoCellAnchor>
  <xdr:twoCellAnchor>
    <xdr:from>
      <xdr:col>11</xdr:col>
      <xdr:colOff>0</xdr:colOff>
      <xdr:row>4</xdr:row>
      <xdr:rowOff>28575</xdr:rowOff>
    </xdr:from>
    <xdr:to>
      <xdr:col>20</xdr:col>
      <xdr:colOff>0</xdr:colOff>
      <xdr:row>13</xdr:row>
      <xdr:rowOff>0</xdr:rowOff>
    </xdr:to>
    <xdr:sp macro="" textlink="" fLocksText="0">
      <xdr:nvSpPr>
        <xdr:cNvPr id="9" name="Tekstiruutu 8">
          <a:extLst>
            <a:ext uri="{FF2B5EF4-FFF2-40B4-BE49-F238E27FC236}">
              <a16:creationId xmlns:a16="http://schemas.microsoft.com/office/drawing/2014/main" id="{00000000-0008-0000-0D00-000009000000}"/>
            </a:ext>
          </a:extLst>
        </xdr:cNvPr>
        <xdr:cNvSpPr txBox="1"/>
      </xdr:nvSpPr>
      <xdr:spPr>
        <a:xfrm>
          <a:off x="180975" y="933450"/>
          <a:ext cx="4876800" cy="1685925"/>
        </a:xfrm>
        <a:prstGeom prst="rect">
          <a:avLst/>
        </a:prstGeom>
        <a:solidFill>
          <a:srgbClr val="FFFF99"/>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lang="fi-FI" sz="1100">
            <a:latin typeface="+mj-lt"/>
          </a:endParaRPr>
        </a:p>
      </xdr:txBody>
    </xdr:sp>
    <xdr:clientData/>
  </xdr:twoCellAnchor>
  <xdr:twoCellAnchor>
    <xdr:from>
      <xdr:col>11</xdr:col>
      <xdr:colOff>0</xdr:colOff>
      <xdr:row>15</xdr:row>
      <xdr:rowOff>19050</xdr:rowOff>
    </xdr:from>
    <xdr:to>
      <xdr:col>20</xdr:col>
      <xdr:colOff>0</xdr:colOff>
      <xdr:row>23</xdr:row>
      <xdr:rowOff>180975</xdr:rowOff>
    </xdr:to>
    <xdr:sp macro="" textlink="" fLocksText="0">
      <xdr:nvSpPr>
        <xdr:cNvPr id="10" name="Tekstiruutu 9">
          <a:extLst>
            <a:ext uri="{FF2B5EF4-FFF2-40B4-BE49-F238E27FC236}">
              <a16:creationId xmlns:a16="http://schemas.microsoft.com/office/drawing/2014/main" id="{00000000-0008-0000-0D00-00000A000000}"/>
            </a:ext>
          </a:extLst>
        </xdr:cNvPr>
        <xdr:cNvSpPr txBox="1"/>
      </xdr:nvSpPr>
      <xdr:spPr>
        <a:xfrm>
          <a:off x="180975" y="3019425"/>
          <a:ext cx="4876800" cy="1685925"/>
        </a:xfrm>
        <a:prstGeom prst="rect">
          <a:avLst/>
        </a:prstGeom>
        <a:solidFill>
          <a:srgbClr val="FFFF99"/>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lang="fi-FI" sz="1100">
            <a:latin typeface="+mj-lt"/>
          </a:endParaRPr>
        </a:p>
      </xdr:txBody>
    </xdr:sp>
    <xdr:clientData/>
  </xdr:twoCellAnchor>
  <xdr:twoCellAnchor>
    <xdr:from>
      <xdr:col>11</xdr:col>
      <xdr:colOff>0</xdr:colOff>
      <xdr:row>26</xdr:row>
      <xdr:rowOff>19050</xdr:rowOff>
    </xdr:from>
    <xdr:to>
      <xdr:col>20</xdr:col>
      <xdr:colOff>0</xdr:colOff>
      <xdr:row>34</xdr:row>
      <xdr:rowOff>180975</xdr:rowOff>
    </xdr:to>
    <xdr:sp macro="" textlink="" fLocksText="0">
      <xdr:nvSpPr>
        <xdr:cNvPr id="11" name="Tekstiruutu 10">
          <a:extLst>
            <a:ext uri="{FF2B5EF4-FFF2-40B4-BE49-F238E27FC236}">
              <a16:creationId xmlns:a16="http://schemas.microsoft.com/office/drawing/2014/main" id="{00000000-0008-0000-0D00-00000B000000}"/>
            </a:ext>
          </a:extLst>
        </xdr:cNvPr>
        <xdr:cNvSpPr txBox="1"/>
      </xdr:nvSpPr>
      <xdr:spPr>
        <a:xfrm>
          <a:off x="180975" y="5114925"/>
          <a:ext cx="4876800" cy="1685925"/>
        </a:xfrm>
        <a:prstGeom prst="rect">
          <a:avLst/>
        </a:prstGeom>
        <a:solidFill>
          <a:srgbClr val="FFFF99"/>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lang="fi-FI" sz="1100">
            <a:latin typeface="+mj-lt"/>
          </a:endParaRPr>
        </a:p>
      </xdr:txBody>
    </xdr:sp>
    <xdr:clientData/>
  </xdr:twoCellAnchor>
  <xdr:twoCellAnchor>
    <xdr:from>
      <xdr:col>11</xdr:col>
      <xdr:colOff>9525</xdr:colOff>
      <xdr:row>37</xdr:row>
      <xdr:rowOff>19050</xdr:rowOff>
    </xdr:from>
    <xdr:to>
      <xdr:col>20</xdr:col>
      <xdr:colOff>9525</xdr:colOff>
      <xdr:row>60</xdr:row>
      <xdr:rowOff>180975</xdr:rowOff>
    </xdr:to>
    <xdr:sp macro="" textlink="" fLocksText="0">
      <xdr:nvSpPr>
        <xdr:cNvPr id="12" name="Tekstiruutu 11">
          <a:extLst>
            <a:ext uri="{FF2B5EF4-FFF2-40B4-BE49-F238E27FC236}">
              <a16:creationId xmlns:a16="http://schemas.microsoft.com/office/drawing/2014/main" id="{00000000-0008-0000-0D00-00000C000000}"/>
            </a:ext>
          </a:extLst>
        </xdr:cNvPr>
        <xdr:cNvSpPr txBox="1"/>
      </xdr:nvSpPr>
      <xdr:spPr>
        <a:xfrm>
          <a:off x="190500" y="7210425"/>
          <a:ext cx="4876800" cy="1685925"/>
        </a:xfrm>
        <a:prstGeom prst="rect">
          <a:avLst/>
        </a:prstGeom>
        <a:solidFill>
          <a:srgbClr val="FFFF99"/>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lang="fi-FI" sz="1100">
            <a:latin typeface="+mj-lt"/>
          </a:endParaRPr>
        </a:p>
      </xdr:txBody>
    </xdr:sp>
    <xdr:clientData/>
  </xdr:twoCellAnchor>
  <xdr:twoCellAnchor>
    <xdr:from>
      <xdr:col>21</xdr:col>
      <xdr:colOff>0</xdr:colOff>
      <xdr:row>4</xdr:row>
      <xdr:rowOff>28575</xdr:rowOff>
    </xdr:from>
    <xdr:to>
      <xdr:col>30</xdr:col>
      <xdr:colOff>0</xdr:colOff>
      <xdr:row>13</xdr:row>
      <xdr:rowOff>0</xdr:rowOff>
    </xdr:to>
    <xdr:sp macro="" textlink="" fLocksText="0">
      <xdr:nvSpPr>
        <xdr:cNvPr id="13" name="Tekstiruutu 12">
          <a:extLst>
            <a:ext uri="{FF2B5EF4-FFF2-40B4-BE49-F238E27FC236}">
              <a16:creationId xmlns:a16="http://schemas.microsoft.com/office/drawing/2014/main" id="{00000000-0008-0000-0D00-00000D000000}"/>
            </a:ext>
          </a:extLst>
        </xdr:cNvPr>
        <xdr:cNvSpPr txBox="1"/>
      </xdr:nvSpPr>
      <xdr:spPr>
        <a:xfrm>
          <a:off x="180975" y="933450"/>
          <a:ext cx="4876800" cy="1685925"/>
        </a:xfrm>
        <a:prstGeom prst="rect">
          <a:avLst/>
        </a:prstGeom>
        <a:solidFill>
          <a:srgbClr val="FFFF99"/>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lang="fi-FI" sz="1100">
            <a:latin typeface="+mj-lt"/>
          </a:endParaRPr>
        </a:p>
      </xdr:txBody>
    </xdr:sp>
    <xdr:clientData/>
  </xdr:twoCellAnchor>
  <xdr:twoCellAnchor>
    <xdr:from>
      <xdr:col>21</xdr:col>
      <xdr:colOff>0</xdr:colOff>
      <xdr:row>15</xdr:row>
      <xdr:rowOff>19050</xdr:rowOff>
    </xdr:from>
    <xdr:to>
      <xdr:col>30</xdr:col>
      <xdr:colOff>0</xdr:colOff>
      <xdr:row>23</xdr:row>
      <xdr:rowOff>180975</xdr:rowOff>
    </xdr:to>
    <xdr:sp macro="" textlink="" fLocksText="0">
      <xdr:nvSpPr>
        <xdr:cNvPr id="14" name="Tekstiruutu 13">
          <a:extLst>
            <a:ext uri="{FF2B5EF4-FFF2-40B4-BE49-F238E27FC236}">
              <a16:creationId xmlns:a16="http://schemas.microsoft.com/office/drawing/2014/main" id="{00000000-0008-0000-0D00-00000E000000}"/>
            </a:ext>
          </a:extLst>
        </xdr:cNvPr>
        <xdr:cNvSpPr txBox="1"/>
      </xdr:nvSpPr>
      <xdr:spPr>
        <a:xfrm>
          <a:off x="180975" y="3019425"/>
          <a:ext cx="4876800" cy="1685925"/>
        </a:xfrm>
        <a:prstGeom prst="rect">
          <a:avLst/>
        </a:prstGeom>
        <a:solidFill>
          <a:srgbClr val="FFFF99"/>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lang="fi-FI" sz="1100">
            <a:latin typeface="+mj-lt"/>
          </a:endParaRPr>
        </a:p>
      </xdr:txBody>
    </xdr:sp>
    <xdr:clientData/>
  </xdr:twoCellAnchor>
  <xdr:twoCellAnchor>
    <xdr:from>
      <xdr:col>21</xdr:col>
      <xdr:colOff>0</xdr:colOff>
      <xdr:row>26</xdr:row>
      <xdr:rowOff>19050</xdr:rowOff>
    </xdr:from>
    <xdr:to>
      <xdr:col>30</xdr:col>
      <xdr:colOff>0</xdr:colOff>
      <xdr:row>34</xdr:row>
      <xdr:rowOff>180975</xdr:rowOff>
    </xdr:to>
    <xdr:sp macro="" textlink="" fLocksText="0">
      <xdr:nvSpPr>
        <xdr:cNvPr id="15" name="Tekstiruutu 14">
          <a:extLst>
            <a:ext uri="{FF2B5EF4-FFF2-40B4-BE49-F238E27FC236}">
              <a16:creationId xmlns:a16="http://schemas.microsoft.com/office/drawing/2014/main" id="{00000000-0008-0000-0D00-00000F000000}"/>
            </a:ext>
          </a:extLst>
        </xdr:cNvPr>
        <xdr:cNvSpPr txBox="1"/>
      </xdr:nvSpPr>
      <xdr:spPr>
        <a:xfrm>
          <a:off x="180975" y="5114925"/>
          <a:ext cx="4876800" cy="1685925"/>
        </a:xfrm>
        <a:prstGeom prst="rect">
          <a:avLst/>
        </a:prstGeom>
        <a:solidFill>
          <a:srgbClr val="FFFF99"/>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lang="fi-FI" sz="1100">
            <a:latin typeface="+mj-lt"/>
          </a:endParaRPr>
        </a:p>
      </xdr:txBody>
    </xdr:sp>
    <xdr:clientData/>
  </xdr:twoCellAnchor>
  <xdr:twoCellAnchor>
    <xdr:from>
      <xdr:col>21</xdr:col>
      <xdr:colOff>9525</xdr:colOff>
      <xdr:row>37</xdr:row>
      <xdr:rowOff>19050</xdr:rowOff>
    </xdr:from>
    <xdr:to>
      <xdr:col>30</xdr:col>
      <xdr:colOff>9525</xdr:colOff>
      <xdr:row>60</xdr:row>
      <xdr:rowOff>180975</xdr:rowOff>
    </xdr:to>
    <xdr:sp macro="" textlink="" fLocksText="0">
      <xdr:nvSpPr>
        <xdr:cNvPr id="16" name="Tekstiruutu 15">
          <a:extLst>
            <a:ext uri="{FF2B5EF4-FFF2-40B4-BE49-F238E27FC236}">
              <a16:creationId xmlns:a16="http://schemas.microsoft.com/office/drawing/2014/main" id="{00000000-0008-0000-0D00-000010000000}"/>
            </a:ext>
          </a:extLst>
        </xdr:cNvPr>
        <xdr:cNvSpPr txBox="1"/>
      </xdr:nvSpPr>
      <xdr:spPr>
        <a:xfrm>
          <a:off x="190500" y="7210425"/>
          <a:ext cx="4876800" cy="1685925"/>
        </a:xfrm>
        <a:prstGeom prst="rect">
          <a:avLst/>
        </a:prstGeom>
        <a:solidFill>
          <a:srgbClr val="FFFF99"/>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lang="fi-FI" sz="1100">
            <a:latin typeface="+mj-lt"/>
          </a:endParaRPr>
        </a:p>
      </xdr:txBody>
    </xdr:sp>
    <xdr:clientData/>
  </xdr:twoCellAnchor>
  <xdr:twoCellAnchor>
    <xdr:from>
      <xdr:col>28</xdr:col>
      <xdr:colOff>361950</xdr:colOff>
      <xdr:row>63</xdr:row>
      <xdr:rowOff>9525</xdr:rowOff>
    </xdr:from>
    <xdr:to>
      <xdr:col>29</xdr:col>
      <xdr:colOff>609600</xdr:colOff>
      <xdr:row>66</xdr:row>
      <xdr:rowOff>171450</xdr:rowOff>
    </xdr:to>
    <xdr:sp macro="" textlink="">
      <xdr:nvSpPr>
        <xdr:cNvPr id="17" name="Pyöristetty suorakulmio 16" descr="Klikkaa tästä!" title="Siirry alkuun">
          <a:hlinkClick xmlns:r="http://schemas.openxmlformats.org/officeDocument/2006/relationships" r:id="rId2"/>
          <a:extLst>
            <a:ext uri="{FF2B5EF4-FFF2-40B4-BE49-F238E27FC236}">
              <a16:creationId xmlns:a16="http://schemas.microsoft.com/office/drawing/2014/main" id="{00000000-0008-0000-0D00-000011000000}"/>
            </a:ext>
          </a:extLst>
        </xdr:cNvPr>
        <xdr:cNvSpPr/>
      </xdr:nvSpPr>
      <xdr:spPr>
        <a:xfrm>
          <a:off x="16287750" y="15573375"/>
          <a:ext cx="962025" cy="733425"/>
        </a:xfrm>
        <a:prstGeom prst="roundRect">
          <a:avLst/>
        </a:prstGeom>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fi-FI" sz="1600"/>
            <a:t>Siirry alkuun</a:t>
          </a:r>
        </a:p>
      </xdr:txBody>
    </xdr:sp>
    <xdr:clientData/>
  </xdr:twoCellAnchor>
  <xdr:twoCellAnchor>
    <xdr:from>
      <xdr:col>25</xdr:col>
      <xdr:colOff>523875</xdr:colOff>
      <xdr:row>63</xdr:row>
      <xdr:rowOff>19050</xdr:rowOff>
    </xdr:from>
    <xdr:to>
      <xdr:col>28</xdr:col>
      <xdr:colOff>180975</xdr:colOff>
      <xdr:row>66</xdr:row>
      <xdr:rowOff>180975</xdr:rowOff>
    </xdr:to>
    <xdr:sp macro="" textlink="">
      <xdr:nvSpPr>
        <xdr:cNvPr id="18" name="Pyöristetty suorakulmio 17" descr="Klikkaa tästä!" title="Siirry alkuun">
          <a:hlinkClick xmlns:r="http://schemas.openxmlformats.org/officeDocument/2006/relationships" r:id="rId3"/>
          <a:extLst>
            <a:ext uri="{FF2B5EF4-FFF2-40B4-BE49-F238E27FC236}">
              <a16:creationId xmlns:a16="http://schemas.microsoft.com/office/drawing/2014/main" id="{00000000-0008-0000-0D00-000012000000}"/>
            </a:ext>
          </a:extLst>
        </xdr:cNvPr>
        <xdr:cNvSpPr/>
      </xdr:nvSpPr>
      <xdr:spPr>
        <a:xfrm>
          <a:off x="14306550" y="15582900"/>
          <a:ext cx="1800225" cy="733425"/>
        </a:xfrm>
        <a:prstGeom prst="roundRect">
          <a:avLst/>
        </a:prstGeom>
        <a:solidFill>
          <a:srgbClr val="98F20F"/>
        </a:solidFill>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fi-FI" sz="1800"/>
            <a:t>Lähtötiedot</a:t>
          </a:r>
          <a:endParaRPr lang="fi-FI" sz="1400"/>
        </a:p>
      </xdr:txBody>
    </xdr:sp>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1123950</xdr:colOff>
      <xdr:row>0</xdr:row>
      <xdr:rowOff>339138</xdr:rowOff>
    </xdr:to>
    <xdr:pic>
      <xdr:nvPicPr>
        <xdr:cNvPr id="7" name="Kuva 6">
          <a:extLst>
            <a:ext uri="{FF2B5EF4-FFF2-40B4-BE49-F238E27FC236}">
              <a16:creationId xmlns:a16="http://schemas.microsoft.com/office/drawing/2014/main" id="{00000000-0008-0000-0E00-000007000000}"/>
            </a:ext>
          </a:extLst>
        </xdr:cNvPr>
        <xdr:cNvPicPr>
          <a:picLocks noChangeAspect="1"/>
        </xdr:cNvPicPr>
      </xdr:nvPicPr>
      <xdr:blipFill rotWithShape="1">
        <a:blip xmlns:r="http://schemas.openxmlformats.org/officeDocument/2006/relationships" r:embed="rId1"/>
        <a:srcRect l="4914" t="19635" r="9124" b="32923"/>
        <a:stretch/>
      </xdr:blipFill>
      <xdr:spPr>
        <a:xfrm>
          <a:off x="180975" y="0"/>
          <a:ext cx="1123950" cy="339138"/>
        </a:xfrm>
        <a:prstGeom prst="rect">
          <a:avLst/>
        </a:prstGeom>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pic>
    <xdr:clientData/>
  </xdr:twoCellAnchor>
  <xdr:twoCellAnchor>
    <xdr:from>
      <xdr:col>9</xdr:col>
      <xdr:colOff>57149</xdr:colOff>
      <xdr:row>44</xdr:row>
      <xdr:rowOff>19050</xdr:rowOff>
    </xdr:from>
    <xdr:to>
      <xdr:col>10</xdr:col>
      <xdr:colOff>276225</xdr:colOff>
      <xdr:row>47</xdr:row>
      <xdr:rowOff>180975</xdr:rowOff>
    </xdr:to>
    <xdr:sp macro="" textlink="">
      <xdr:nvSpPr>
        <xdr:cNvPr id="8" name="Pyöristetty suorakulmio 7" descr="Klikkaa tästä!" title="Siirry alkuun">
          <a:hlinkClick xmlns:r="http://schemas.openxmlformats.org/officeDocument/2006/relationships" r:id="rId2"/>
          <a:extLst>
            <a:ext uri="{FF2B5EF4-FFF2-40B4-BE49-F238E27FC236}">
              <a16:creationId xmlns:a16="http://schemas.microsoft.com/office/drawing/2014/main" id="{00000000-0008-0000-0E00-000008000000}"/>
            </a:ext>
          </a:extLst>
        </xdr:cNvPr>
        <xdr:cNvSpPr/>
      </xdr:nvSpPr>
      <xdr:spPr>
        <a:xfrm>
          <a:off x="6562724" y="8896350"/>
          <a:ext cx="828676" cy="762000"/>
        </a:xfrm>
        <a:prstGeom prst="roundRect">
          <a:avLst/>
        </a:prstGeom>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fi-FI" sz="1600"/>
            <a:t>Siirry alkuun</a:t>
          </a:r>
        </a:p>
      </xdr:txBody>
    </xdr:sp>
    <xdr:clientData/>
  </xdr:twoCellAnchor>
  <xdr:twoCellAnchor>
    <xdr:from>
      <xdr:col>8</xdr:col>
      <xdr:colOff>257175</xdr:colOff>
      <xdr:row>44</xdr:row>
      <xdr:rowOff>0</xdr:rowOff>
    </xdr:from>
    <xdr:to>
      <xdr:col>8</xdr:col>
      <xdr:colOff>1771650</xdr:colOff>
      <xdr:row>47</xdr:row>
      <xdr:rowOff>161925</xdr:rowOff>
    </xdr:to>
    <xdr:sp macro="" textlink="">
      <xdr:nvSpPr>
        <xdr:cNvPr id="9" name="Pyöristetty suorakulmio 8" descr="Klikkaa tästä!" title="Siirry alkuun">
          <a:hlinkClick xmlns:r="http://schemas.openxmlformats.org/officeDocument/2006/relationships" r:id="rId3"/>
          <a:extLst>
            <a:ext uri="{FF2B5EF4-FFF2-40B4-BE49-F238E27FC236}">
              <a16:creationId xmlns:a16="http://schemas.microsoft.com/office/drawing/2014/main" id="{00000000-0008-0000-0E00-000009000000}"/>
            </a:ext>
          </a:extLst>
        </xdr:cNvPr>
        <xdr:cNvSpPr/>
      </xdr:nvSpPr>
      <xdr:spPr>
        <a:xfrm>
          <a:off x="4886325" y="8877300"/>
          <a:ext cx="1514475" cy="762000"/>
        </a:xfrm>
        <a:prstGeom prst="roundRect">
          <a:avLst/>
        </a:prstGeom>
        <a:solidFill>
          <a:srgbClr val="98F20F"/>
        </a:solidFill>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fi-FI" sz="1800"/>
            <a:t>Lähtötiedot</a:t>
          </a:r>
          <a:endParaRPr lang="fi-FI" sz="1400"/>
        </a:p>
      </xdr:txBody>
    </xdr:sp>
    <xdr:clientData/>
  </xdr:twoCellAnchor>
  <xdr:twoCellAnchor>
    <xdr:from>
      <xdr:col>7</xdr:col>
      <xdr:colOff>0</xdr:colOff>
      <xdr:row>11</xdr:row>
      <xdr:rowOff>0</xdr:rowOff>
    </xdr:from>
    <xdr:to>
      <xdr:col>11</xdr:col>
      <xdr:colOff>9525</xdr:colOff>
      <xdr:row>42</xdr:row>
      <xdr:rowOff>0</xdr:rowOff>
    </xdr:to>
    <xdr:sp macro="" textlink="" fLocksText="0">
      <xdr:nvSpPr>
        <xdr:cNvPr id="10" name="Tekstiruutu 9">
          <a:extLst>
            <a:ext uri="{FF2B5EF4-FFF2-40B4-BE49-F238E27FC236}">
              <a16:creationId xmlns:a16="http://schemas.microsoft.com/office/drawing/2014/main" id="{00000000-0008-0000-0E00-00000A000000}"/>
            </a:ext>
          </a:extLst>
        </xdr:cNvPr>
        <xdr:cNvSpPr txBox="1"/>
      </xdr:nvSpPr>
      <xdr:spPr>
        <a:xfrm>
          <a:off x="4448175" y="2314575"/>
          <a:ext cx="3286125" cy="6162675"/>
        </a:xfrm>
        <a:prstGeom prst="rect">
          <a:avLst/>
        </a:prstGeom>
        <a:solidFill>
          <a:srgbClr val="FFFF99"/>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lang="fi-FI" sz="1100">
            <a:latin typeface="+mj-lt"/>
          </a:endParaRP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9</xdr:col>
      <xdr:colOff>180974</xdr:colOff>
      <xdr:row>2</xdr:row>
      <xdr:rowOff>0</xdr:rowOff>
    </xdr:from>
    <xdr:to>
      <xdr:col>15</xdr:col>
      <xdr:colOff>0</xdr:colOff>
      <xdr:row>8</xdr:row>
      <xdr:rowOff>190499</xdr:rowOff>
    </xdr:to>
    <xdr:sp macro="" textlink="">
      <xdr:nvSpPr>
        <xdr:cNvPr id="13" name="Tekstiruutu 12">
          <a:extLst>
            <a:ext uri="{FF2B5EF4-FFF2-40B4-BE49-F238E27FC236}">
              <a16:creationId xmlns:a16="http://schemas.microsoft.com/office/drawing/2014/main" id="{00000000-0008-0000-0F00-00000D000000}"/>
            </a:ext>
          </a:extLst>
        </xdr:cNvPr>
        <xdr:cNvSpPr txBox="1"/>
      </xdr:nvSpPr>
      <xdr:spPr>
        <a:xfrm>
          <a:off x="5829299" y="381000"/>
          <a:ext cx="3171826" cy="1504949"/>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100"/>
            <a:t>Tähän tulee tilan taustatietoja...</a:t>
          </a:r>
        </a:p>
      </xdr:txBody>
    </xdr:sp>
    <xdr:clientData/>
  </xdr:twoCellAnchor>
  <xdr:twoCellAnchor>
    <xdr:from>
      <xdr:col>24</xdr:col>
      <xdr:colOff>180974</xdr:colOff>
      <xdr:row>2</xdr:row>
      <xdr:rowOff>0</xdr:rowOff>
    </xdr:from>
    <xdr:to>
      <xdr:col>30</xdr:col>
      <xdr:colOff>0</xdr:colOff>
      <xdr:row>8</xdr:row>
      <xdr:rowOff>190499</xdr:rowOff>
    </xdr:to>
    <xdr:sp macro="" textlink="">
      <xdr:nvSpPr>
        <xdr:cNvPr id="16" name="Tekstiruutu 15">
          <a:extLst>
            <a:ext uri="{FF2B5EF4-FFF2-40B4-BE49-F238E27FC236}">
              <a16:creationId xmlns:a16="http://schemas.microsoft.com/office/drawing/2014/main" id="{00000000-0008-0000-0F00-000010000000}"/>
            </a:ext>
          </a:extLst>
        </xdr:cNvPr>
        <xdr:cNvSpPr txBox="1"/>
      </xdr:nvSpPr>
      <xdr:spPr>
        <a:xfrm>
          <a:off x="5829299" y="381000"/>
          <a:ext cx="3171826" cy="1504949"/>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100"/>
            <a:t>Tähän tulee tilan taustatietoja...</a:t>
          </a:r>
        </a:p>
      </xdr:txBody>
    </xdr:sp>
    <xdr:clientData/>
  </xdr:twoCellAnchor>
  <xdr:twoCellAnchor>
    <xdr:from>
      <xdr:col>1</xdr:col>
      <xdr:colOff>132290</xdr:colOff>
      <xdr:row>32</xdr:row>
      <xdr:rowOff>42333</xdr:rowOff>
    </xdr:from>
    <xdr:to>
      <xdr:col>1</xdr:col>
      <xdr:colOff>966257</xdr:colOff>
      <xdr:row>35</xdr:row>
      <xdr:rowOff>183092</xdr:rowOff>
    </xdr:to>
    <xdr:sp macro="" textlink="">
      <xdr:nvSpPr>
        <xdr:cNvPr id="8" name="Pyöristetty suorakulmio 7" descr="Klikkaa tästä!" title="Siirry alkuun">
          <a:hlinkClick xmlns:r="http://schemas.openxmlformats.org/officeDocument/2006/relationships" r:id="rId1"/>
          <a:extLst>
            <a:ext uri="{FF2B5EF4-FFF2-40B4-BE49-F238E27FC236}">
              <a16:creationId xmlns:a16="http://schemas.microsoft.com/office/drawing/2014/main" id="{00000000-0008-0000-0F00-000008000000}"/>
            </a:ext>
          </a:extLst>
        </xdr:cNvPr>
        <xdr:cNvSpPr/>
      </xdr:nvSpPr>
      <xdr:spPr>
        <a:xfrm>
          <a:off x="312207" y="6731000"/>
          <a:ext cx="833967" cy="733425"/>
        </a:xfrm>
        <a:prstGeom prst="roundRect">
          <a:avLst/>
        </a:prstGeom>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fi-FI" sz="1600"/>
            <a:t>Siirry alkuun</a:t>
          </a:r>
        </a:p>
      </xdr:txBody>
    </xdr:sp>
    <xdr:clientData/>
  </xdr:twoCellAnchor>
  <xdr:twoCellAnchor>
    <xdr:from>
      <xdr:col>1</xdr:col>
      <xdr:colOff>21165</xdr:colOff>
      <xdr:row>2</xdr:row>
      <xdr:rowOff>10585</xdr:rowOff>
    </xdr:from>
    <xdr:to>
      <xdr:col>1</xdr:col>
      <xdr:colOff>1090082</xdr:colOff>
      <xdr:row>4</xdr:row>
      <xdr:rowOff>10585</xdr:rowOff>
    </xdr:to>
    <xdr:sp macro="" textlink="">
      <xdr:nvSpPr>
        <xdr:cNvPr id="9" name="Pyöristetty suorakulmio 8" descr="Klikkaa tästä!" title="Siirry alkuun">
          <a:hlinkClick xmlns:r="http://schemas.openxmlformats.org/officeDocument/2006/relationships" r:id="rId2"/>
          <a:extLst>
            <a:ext uri="{FF2B5EF4-FFF2-40B4-BE49-F238E27FC236}">
              <a16:creationId xmlns:a16="http://schemas.microsoft.com/office/drawing/2014/main" id="{00000000-0008-0000-0F00-000009000000}"/>
            </a:ext>
          </a:extLst>
        </xdr:cNvPr>
        <xdr:cNvSpPr/>
      </xdr:nvSpPr>
      <xdr:spPr>
        <a:xfrm>
          <a:off x="201082" y="687918"/>
          <a:ext cx="1068917" cy="539750"/>
        </a:xfrm>
        <a:prstGeom prst="roundRect">
          <a:avLst/>
        </a:prstGeom>
        <a:solidFill>
          <a:srgbClr val="98F20F"/>
        </a:solidFill>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fi-FI" sz="1200"/>
            <a:t>Lähtötiedot</a:t>
          </a:r>
          <a:endParaRPr lang="fi-FI" sz="1050"/>
        </a:p>
      </xdr:txBody>
    </xdr:sp>
    <xdr:clientData/>
  </xdr:twoCellAnchor>
  <xdr:oneCellAnchor>
    <xdr:from>
      <xdr:col>1</xdr:col>
      <xdr:colOff>0</xdr:colOff>
      <xdr:row>0</xdr:row>
      <xdr:rowOff>0</xdr:rowOff>
    </xdr:from>
    <xdr:ext cx="1123950" cy="339138"/>
    <xdr:pic>
      <xdr:nvPicPr>
        <xdr:cNvPr id="11" name="Kuva 10">
          <a:hlinkClick xmlns:r="http://schemas.openxmlformats.org/officeDocument/2006/relationships" r:id="rId3"/>
          <a:extLst>
            <a:ext uri="{FF2B5EF4-FFF2-40B4-BE49-F238E27FC236}">
              <a16:creationId xmlns:a16="http://schemas.microsoft.com/office/drawing/2014/main" id="{00000000-0008-0000-0F00-00000B000000}"/>
            </a:ext>
          </a:extLst>
        </xdr:cNvPr>
        <xdr:cNvPicPr>
          <a:picLocks noChangeAspect="1"/>
        </xdr:cNvPicPr>
      </xdr:nvPicPr>
      <xdr:blipFill rotWithShape="1">
        <a:blip xmlns:r="http://schemas.openxmlformats.org/officeDocument/2006/relationships" r:embed="rId4"/>
        <a:srcRect l="4914" t="19635" r="9124" b="32923"/>
        <a:stretch/>
      </xdr:blipFill>
      <xdr:spPr>
        <a:xfrm>
          <a:off x="1228725" y="0"/>
          <a:ext cx="1123950" cy="339138"/>
        </a:xfrm>
        <a:prstGeom prst="rect">
          <a:avLst/>
        </a:prstGeom>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pic>
    <xdr:clientData/>
  </xdr:oneCellAnchor>
  <xdr:twoCellAnchor>
    <xdr:from>
      <xdr:col>1</xdr:col>
      <xdr:colOff>21165</xdr:colOff>
      <xdr:row>12</xdr:row>
      <xdr:rowOff>10585</xdr:rowOff>
    </xdr:from>
    <xdr:to>
      <xdr:col>1</xdr:col>
      <xdr:colOff>1090082</xdr:colOff>
      <xdr:row>14</xdr:row>
      <xdr:rowOff>10585</xdr:rowOff>
    </xdr:to>
    <xdr:sp macro="" textlink="">
      <xdr:nvSpPr>
        <xdr:cNvPr id="15" name="Pyöristetty suorakulmio 14" descr="Klikkaa tästä!" title="Siirry alkuun">
          <a:hlinkClick xmlns:r="http://schemas.openxmlformats.org/officeDocument/2006/relationships" r:id="rId5"/>
          <a:extLst>
            <a:ext uri="{FF2B5EF4-FFF2-40B4-BE49-F238E27FC236}">
              <a16:creationId xmlns:a16="http://schemas.microsoft.com/office/drawing/2014/main" id="{00000000-0008-0000-0F00-00000F000000}"/>
            </a:ext>
          </a:extLst>
        </xdr:cNvPr>
        <xdr:cNvSpPr/>
      </xdr:nvSpPr>
      <xdr:spPr>
        <a:xfrm>
          <a:off x="201082" y="687918"/>
          <a:ext cx="1068917" cy="539750"/>
        </a:xfrm>
        <a:prstGeom prst="roundRect">
          <a:avLst/>
        </a:prstGeom>
        <a:solidFill>
          <a:srgbClr val="FFCCFF"/>
        </a:solidFill>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fi-FI" sz="1200"/>
            <a:t>Maito</a:t>
          </a:r>
          <a:endParaRPr lang="fi-FI" sz="1050"/>
        </a:p>
      </xdr:txBody>
    </xdr:sp>
    <xdr:clientData/>
  </xdr:twoCellAnchor>
  <xdr:twoCellAnchor>
    <xdr:from>
      <xdr:col>1</xdr:col>
      <xdr:colOff>21165</xdr:colOff>
      <xdr:row>15</xdr:row>
      <xdr:rowOff>10585</xdr:rowOff>
    </xdr:from>
    <xdr:to>
      <xdr:col>1</xdr:col>
      <xdr:colOff>1090082</xdr:colOff>
      <xdr:row>17</xdr:row>
      <xdr:rowOff>10585</xdr:rowOff>
    </xdr:to>
    <xdr:sp macro="" textlink="">
      <xdr:nvSpPr>
        <xdr:cNvPr id="17" name="Pyöristetty suorakulmio 16" descr="Klikkaa tästä!" title="Siirry alkuun">
          <a:hlinkClick xmlns:r="http://schemas.openxmlformats.org/officeDocument/2006/relationships" r:id="rId6"/>
          <a:extLst>
            <a:ext uri="{FF2B5EF4-FFF2-40B4-BE49-F238E27FC236}">
              <a16:creationId xmlns:a16="http://schemas.microsoft.com/office/drawing/2014/main" id="{00000000-0008-0000-0F00-000011000000}"/>
            </a:ext>
          </a:extLst>
        </xdr:cNvPr>
        <xdr:cNvSpPr/>
      </xdr:nvSpPr>
      <xdr:spPr>
        <a:xfrm>
          <a:off x="201082" y="687918"/>
          <a:ext cx="1068917" cy="539750"/>
        </a:xfrm>
        <a:prstGeom prst="roundRect">
          <a:avLst/>
        </a:prstGeom>
        <a:solidFill>
          <a:srgbClr val="FF66FF"/>
        </a:solidFill>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fi-FI" sz="1200"/>
            <a:t>Yhdistelmä</a:t>
          </a:r>
          <a:endParaRPr lang="fi-FI" sz="1050"/>
        </a:p>
      </xdr:txBody>
    </xdr:sp>
    <xdr:clientData/>
  </xdr:twoCellAnchor>
  <xdr:twoCellAnchor>
    <xdr:from>
      <xdr:col>1</xdr:col>
      <xdr:colOff>21165</xdr:colOff>
      <xdr:row>18</xdr:row>
      <xdr:rowOff>10585</xdr:rowOff>
    </xdr:from>
    <xdr:to>
      <xdr:col>1</xdr:col>
      <xdr:colOff>1090082</xdr:colOff>
      <xdr:row>20</xdr:row>
      <xdr:rowOff>10585</xdr:rowOff>
    </xdr:to>
    <xdr:sp macro="" textlink="">
      <xdr:nvSpPr>
        <xdr:cNvPr id="18" name="Pyöristetty suorakulmio 17" descr="Klikkaa tästä!" title="Siirry alkuun">
          <a:hlinkClick xmlns:r="http://schemas.openxmlformats.org/officeDocument/2006/relationships" r:id="rId7"/>
          <a:extLst>
            <a:ext uri="{FF2B5EF4-FFF2-40B4-BE49-F238E27FC236}">
              <a16:creationId xmlns:a16="http://schemas.microsoft.com/office/drawing/2014/main" id="{00000000-0008-0000-0F00-000012000000}"/>
            </a:ext>
          </a:extLst>
        </xdr:cNvPr>
        <xdr:cNvSpPr/>
      </xdr:nvSpPr>
      <xdr:spPr>
        <a:xfrm>
          <a:off x="201082" y="687918"/>
          <a:ext cx="1068917" cy="539750"/>
        </a:xfrm>
        <a:prstGeom prst="roundRect">
          <a:avLst/>
        </a:prstGeom>
        <a:solidFill>
          <a:srgbClr val="FF66CC"/>
        </a:solidFill>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fi-FI" sz="1200"/>
            <a:t>Pihvivasikka</a:t>
          </a:r>
          <a:endParaRPr lang="fi-FI" sz="1050"/>
        </a:p>
      </xdr:txBody>
    </xdr:sp>
    <xdr:clientData/>
  </xdr:twoCellAnchor>
  <xdr:twoCellAnchor>
    <xdr:from>
      <xdr:col>1</xdr:col>
      <xdr:colOff>21165</xdr:colOff>
      <xdr:row>21</xdr:row>
      <xdr:rowOff>10585</xdr:rowOff>
    </xdr:from>
    <xdr:to>
      <xdr:col>1</xdr:col>
      <xdr:colOff>1090082</xdr:colOff>
      <xdr:row>23</xdr:row>
      <xdr:rowOff>10585</xdr:rowOff>
    </xdr:to>
    <xdr:sp macro="" textlink="">
      <xdr:nvSpPr>
        <xdr:cNvPr id="19" name="Pyöristetty suorakulmio 18" descr="Klikkaa tästä!" title="Siirry alkuun">
          <a:hlinkClick xmlns:r="http://schemas.openxmlformats.org/officeDocument/2006/relationships" r:id="rId8"/>
          <a:extLst>
            <a:ext uri="{FF2B5EF4-FFF2-40B4-BE49-F238E27FC236}">
              <a16:creationId xmlns:a16="http://schemas.microsoft.com/office/drawing/2014/main" id="{00000000-0008-0000-0F00-000013000000}"/>
            </a:ext>
          </a:extLst>
        </xdr:cNvPr>
        <xdr:cNvSpPr/>
      </xdr:nvSpPr>
      <xdr:spPr>
        <a:xfrm>
          <a:off x="201082" y="687918"/>
          <a:ext cx="1068917" cy="539750"/>
        </a:xfrm>
        <a:prstGeom prst="roundRect">
          <a:avLst/>
        </a:prstGeom>
        <a:solidFill>
          <a:srgbClr val="FF99CC"/>
        </a:solidFill>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fi-FI" sz="1200"/>
            <a:t>Lihasonni</a:t>
          </a:r>
          <a:endParaRPr lang="fi-FI" sz="1050"/>
        </a:p>
      </xdr:txBody>
    </xdr:sp>
    <xdr:clientData/>
  </xdr:twoCellAnchor>
  <xdr:oneCellAnchor>
    <xdr:from>
      <xdr:col>1</xdr:col>
      <xdr:colOff>0</xdr:colOff>
      <xdr:row>39</xdr:row>
      <xdr:rowOff>0</xdr:rowOff>
    </xdr:from>
    <xdr:ext cx="1123950" cy="339138"/>
    <xdr:pic>
      <xdr:nvPicPr>
        <xdr:cNvPr id="24" name="Kuva 23">
          <a:hlinkClick xmlns:r="http://schemas.openxmlformats.org/officeDocument/2006/relationships" r:id="rId3"/>
          <a:extLst>
            <a:ext uri="{FF2B5EF4-FFF2-40B4-BE49-F238E27FC236}">
              <a16:creationId xmlns:a16="http://schemas.microsoft.com/office/drawing/2014/main" id="{00000000-0008-0000-0F00-000018000000}"/>
            </a:ext>
          </a:extLst>
        </xdr:cNvPr>
        <xdr:cNvPicPr>
          <a:picLocks noChangeAspect="1"/>
        </xdr:cNvPicPr>
      </xdr:nvPicPr>
      <xdr:blipFill rotWithShape="1">
        <a:blip xmlns:r="http://schemas.openxmlformats.org/officeDocument/2006/relationships" r:embed="rId4"/>
        <a:srcRect l="4914" t="19635" r="9124" b="32923"/>
        <a:stretch/>
      </xdr:blipFill>
      <xdr:spPr>
        <a:xfrm>
          <a:off x="179917" y="0"/>
          <a:ext cx="1123950" cy="339138"/>
        </a:xfrm>
        <a:prstGeom prst="rect">
          <a:avLst/>
        </a:prstGeom>
      </xdr:spPr>
    </xdr:pic>
    <xdr:clientData/>
  </xdr:oneCellAnchor>
  <xdr:twoCellAnchor>
    <xdr:from>
      <xdr:col>10</xdr:col>
      <xdr:colOff>0</xdr:colOff>
      <xdr:row>41</xdr:row>
      <xdr:rowOff>0</xdr:rowOff>
    </xdr:from>
    <xdr:to>
      <xdr:col>15</xdr:col>
      <xdr:colOff>1</xdr:colOff>
      <xdr:row>48</xdr:row>
      <xdr:rowOff>171450</xdr:rowOff>
    </xdr:to>
    <xdr:sp macro="" textlink="">
      <xdr:nvSpPr>
        <xdr:cNvPr id="30" name="Tekstiruutu 29">
          <a:extLst>
            <a:ext uri="{FF2B5EF4-FFF2-40B4-BE49-F238E27FC236}">
              <a16:creationId xmlns:a16="http://schemas.microsoft.com/office/drawing/2014/main" id="{00000000-0008-0000-0F00-00001E000000}"/>
            </a:ext>
          </a:extLst>
        </xdr:cNvPr>
        <xdr:cNvSpPr txBox="1"/>
      </xdr:nvSpPr>
      <xdr:spPr>
        <a:xfrm>
          <a:off x="5829300" y="523875"/>
          <a:ext cx="3171826" cy="1676400"/>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100"/>
            <a:t>Tähän tulee tilan taustatietoja...</a:t>
          </a:r>
        </a:p>
      </xdr:txBody>
    </xdr:sp>
    <xdr:clientData/>
  </xdr:twoCellAnchor>
  <xdr:twoCellAnchor>
    <xdr:from>
      <xdr:col>25</xdr:col>
      <xdr:colOff>0</xdr:colOff>
      <xdr:row>41</xdr:row>
      <xdr:rowOff>0</xdr:rowOff>
    </xdr:from>
    <xdr:to>
      <xdr:col>30</xdr:col>
      <xdr:colOff>1</xdr:colOff>
      <xdr:row>48</xdr:row>
      <xdr:rowOff>171450</xdr:rowOff>
    </xdr:to>
    <xdr:sp macro="" textlink="">
      <xdr:nvSpPr>
        <xdr:cNvPr id="31" name="Tekstiruutu 30">
          <a:extLst>
            <a:ext uri="{FF2B5EF4-FFF2-40B4-BE49-F238E27FC236}">
              <a16:creationId xmlns:a16="http://schemas.microsoft.com/office/drawing/2014/main" id="{00000000-0008-0000-0F00-00001F000000}"/>
            </a:ext>
          </a:extLst>
        </xdr:cNvPr>
        <xdr:cNvSpPr txBox="1"/>
      </xdr:nvSpPr>
      <xdr:spPr>
        <a:xfrm>
          <a:off x="15011400" y="523875"/>
          <a:ext cx="3171826" cy="1676400"/>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100"/>
            <a:t>Tähän tulee tilan taustatietoja...</a:t>
          </a:r>
        </a:p>
      </xdr:txBody>
    </xdr:sp>
    <xdr:clientData/>
  </xdr:twoCellAnchor>
  <xdr:oneCellAnchor>
    <xdr:from>
      <xdr:col>1</xdr:col>
      <xdr:colOff>0</xdr:colOff>
      <xdr:row>85</xdr:row>
      <xdr:rowOff>0</xdr:rowOff>
    </xdr:from>
    <xdr:ext cx="1123950" cy="339138"/>
    <xdr:pic>
      <xdr:nvPicPr>
        <xdr:cNvPr id="32" name="Kuva 31">
          <a:hlinkClick xmlns:r="http://schemas.openxmlformats.org/officeDocument/2006/relationships" r:id="rId3"/>
          <a:extLst>
            <a:ext uri="{FF2B5EF4-FFF2-40B4-BE49-F238E27FC236}">
              <a16:creationId xmlns:a16="http://schemas.microsoft.com/office/drawing/2014/main" id="{00000000-0008-0000-0F00-000020000000}"/>
            </a:ext>
          </a:extLst>
        </xdr:cNvPr>
        <xdr:cNvPicPr>
          <a:picLocks noChangeAspect="1"/>
        </xdr:cNvPicPr>
      </xdr:nvPicPr>
      <xdr:blipFill rotWithShape="1">
        <a:blip xmlns:r="http://schemas.openxmlformats.org/officeDocument/2006/relationships" r:embed="rId4"/>
        <a:srcRect l="4914" t="19635" r="9124" b="32923"/>
        <a:stretch/>
      </xdr:blipFill>
      <xdr:spPr>
        <a:xfrm>
          <a:off x="179917" y="8096250"/>
          <a:ext cx="1123950" cy="339138"/>
        </a:xfrm>
        <a:prstGeom prst="rect">
          <a:avLst/>
        </a:prstGeom>
      </xdr:spPr>
    </xdr:pic>
    <xdr:clientData/>
  </xdr:oneCellAnchor>
  <xdr:twoCellAnchor>
    <xdr:from>
      <xdr:col>10</xdr:col>
      <xdr:colOff>0</xdr:colOff>
      <xdr:row>87</xdr:row>
      <xdr:rowOff>0</xdr:rowOff>
    </xdr:from>
    <xdr:to>
      <xdr:col>15</xdr:col>
      <xdr:colOff>1</xdr:colOff>
      <xdr:row>94</xdr:row>
      <xdr:rowOff>171450</xdr:rowOff>
    </xdr:to>
    <xdr:sp macro="" textlink="">
      <xdr:nvSpPr>
        <xdr:cNvPr id="33" name="Tekstiruutu 32">
          <a:extLst>
            <a:ext uri="{FF2B5EF4-FFF2-40B4-BE49-F238E27FC236}">
              <a16:creationId xmlns:a16="http://schemas.microsoft.com/office/drawing/2014/main" id="{00000000-0008-0000-0F00-000021000000}"/>
            </a:ext>
          </a:extLst>
        </xdr:cNvPr>
        <xdr:cNvSpPr txBox="1"/>
      </xdr:nvSpPr>
      <xdr:spPr>
        <a:xfrm>
          <a:off x="7112000" y="8773583"/>
          <a:ext cx="3185584" cy="1684867"/>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100"/>
            <a:t>Tähän tulee tilan taustatietoja...</a:t>
          </a:r>
        </a:p>
      </xdr:txBody>
    </xdr:sp>
    <xdr:clientData/>
  </xdr:twoCellAnchor>
  <xdr:twoCellAnchor>
    <xdr:from>
      <xdr:col>25</xdr:col>
      <xdr:colOff>0</xdr:colOff>
      <xdr:row>87</xdr:row>
      <xdr:rowOff>0</xdr:rowOff>
    </xdr:from>
    <xdr:to>
      <xdr:col>30</xdr:col>
      <xdr:colOff>1</xdr:colOff>
      <xdr:row>94</xdr:row>
      <xdr:rowOff>171450</xdr:rowOff>
    </xdr:to>
    <xdr:sp macro="" textlink="">
      <xdr:nvSpPr>
        <xdr:cNvPr id="34" name="Tekstiruutu 33">
          <a:extLst>
            <a:ext uri="{FF2B5EF4-FFF2-40B4-BE49-F238E27FC236}">
              <a16:creationId xmlns:a16="http://schemas.microsoft.com/office/drawing/2014/main" id="{00000000-0008-0000-0F00-000022000000}"/>
            </a:ext>
          </a:extLst>
        </xdr:cNvPr>
        <xdr:cNvSpPr txBox="1"/>
      </xdr:nvSpPr>
      <xdr:spPr>
        <a:xfrm>
          <a:off x="16340667" y="8773583"/>
          <a:ext cx="3185584" cy="1684867"/>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100"/>
            <a:t>Tähän tulee tilan taustatietoja...</a:t>
          </a:r>
        </a:p>
      </xdr:txBody>
    </xdr:sp>
    <xdr:clientData/>
  </xdr:twoCellAnchor>
  <xdr:oneCellAnchor>
    <xdr:from>
      <xdr:col>1</xdr:col>
      <xdr:colOff>0</xdr:colOff>
      <xdr:row>131</xdr:row>
      <xdr:rowOff>0</xdr:rowOff>
    </xdr:from>
    <xdr:ext cx="1123950" cy="339138"/>
    <xdr:pic>
      <xdr:nvPicPr>
        <xdr:cNvPr id="35" name="Kuva 34">
          <a:hlinkClick xmlns:r="http://schemas.openxmlformats.org/officeDocument/2006/relationships" r:id="rId3"/>
          <a:extLst>
            <a:ext uri="{FF2B5EF4-FFF2-40B4-BE49-F238E27FC236}">
              <a16:creationId xmlns:a16="http://schemas.microsoft.com/office/drawing/2014/main" id="{00000000-0008-0000-0F00-000023000000}"/>
            </a:ext>
          </a:extLst>
        </xdr:cNvPr>
        <xdr:cNvPicPr>
          <a:picLocks noChangeAspect="1"/>
        </xdr:cNvPicPr>
      </xdr:nvPicPr>
      <xdr:blipFill rotWithShape="1">
        <a:blip xmlns:r="http://schemas.openxmlformats.org/officeDocument/2006/relationships" r:embed="rId4"/>
        <a:srcRect l="4914" t="19635" r="9124" b="32923"/>
        <a:stretch/>
      </xdr:blipFill>
      <xdr:spPr>
        <a:xfrm>
          <a:off x="179917" y="8096250"/>
          <a:ext cx="1123950" cy="339138"/>
        </a:xfrm>
        <a:prstGeom prst="rect">
          <a:avLst/>
        </a:prstGeom>
      </xdr:spPr>
    </xdr:pic>
    <xdr:clientData/>
  </xdr:oneCellAnchor>
  <xdr:twoCellAnchor>
    <xdr:from>
      <xdr:col>10</xdr:col>
      <xdr:colOff>0</xdr:colOff>
      <xdr:row>133</xdr:row>
      <xdr:rowOff>0</xdr:rowOff>
    </xdr:from>
    <xdr:to>
      <xdr:col>15</xdr:col>
      <xdr:colOff>1</xdr:colOff>
      <xdr:row>140</xdr:row>
      <xdr:rowOff>171450</xdr:rowOff>
    </xdr:to>
    <xdr:sp macro="" textlink="">
      <xdr:nvSpPr>
        <xdr:cNvPr id="36" name="Tekstiruutu 35">
          <a:extLst>
            <a:ext uri="{FF2B5EF4-FFF2-40B4-BE49-F238E27FC236}">
              <a16:creationId xmlns:a16="http://schemas.microsoft.com/office/drawing/2014/main" id="{00000000-0008-0000-0F00-000024000000}"/>
            </a:ext>
          </a:extLst>
        </xdr:cNvPr>
        <xdr:cNvSpPr txBox="1"/>
      </xdr:nvSpPr>
      <xdr:spPr>
        <a:xfrm>
          <a:off x="7112000" y="8773583"/>
          <a:ext cx="3185584" cy="1684867"/>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100"/>
            <a:t>Tähän tulee tilan taustatietoja...</a:t>
          </a:r>
        </a:p>
      </xdr:txBody>
    </xdr:sp>
    <xdr:clientData/>
  </xdr:twoCellAnchor>
  <xdr:twoCellAnchor>
    <xdr:from>
      <xdr:col>25</xdr:col>
      <xdr:colOff>0</xdr:colOff>
      <xdr:row>133</xdr:row>
      <xdr:rowOff>0</xdr:rowOff>
    </xdr:from>
    <xdr:to>
      <xdr:col>30</xdr:col>
      <xdr:colOff>1</xdr:colOff>
      <xdr:row>140</xdr:row>
      <xdr:rowOff>171450</xdr:rowOff>
    </xdr:to>
    <xdr:sp macro="" textlink="">
      <xdr:nvSpPr>
        <xdr:cNvPr id="37" name="Tekstiruutu 36">
          <a:extLst>
            <a:ext uri="{FF2B5EF4-FFF2-40B4-BE49-F238E27FC236}">
              <a16:creationId xmlns:a16="http://schemas.microsoft.com/office/drawing/2014/main" id="{00000000-0008-0000-0F00-000025000000}"/>
            </a:ext>
          </a:extLst>
        </xdr:cNvPr>
        <xdr:cNvSpPr txBox="1"/>
      </xdr:nvSpPr>
      <xdr:spPr>
        <a:xfrm>
          <a:off x="16340667" y="8773583"/>
          <a:ext cx="3185584" cy="1684867"/>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100"/>
            <a:t>Tähän tulee tilan taustatietoja...</a:t>
          </a:r>
        </a:p>
      </xdr:txBody>
    </xdr:sp>
    <xdr:clientData/>
  </xdr:twoCellAnchor>
  <xdr:oneCellAnchor>
    <xdr:from>
      <xdr:col>1</xdr:col>
      <xdr:colOff>0</xdr:colOff>
      <xdr:row>177</xdr:row>
      <xdr:rowOff>0</xdr:rowOff>
    </xdr:from>
    <xdr:ext cx="1123950" cy="339138"/>
    <xdr:pic>
      <xdr:nvPicPr>
        <xdr:cNvPr id="38" name="Kuva 37">
          <a:hlinkClick xmlns:r="http://schemas.openxmlformats.org/officeDocument/2006/relationships" r:id="rId3"/>
          <a:extLst>
            <a:ext uri="{FF2B5EF4-FFF2-40B4-BE49-F238E27FC236}">
              <a16:creationId xmlns:a16="http://schemas.microsoft.com/office/drawing/2014/main" id="{00000000-0008-0000-0F00-000026000000}"/>
            </a:ext>
          </a:extLst>
        </xdr:cNvPr>
        <xdr:cNvPicPr>
          <a:picLocks noChangeAspect="1"/>
        </xdr:cNvPicPr>
      </xdr:nvPicPr>
      <xdr:blipFill rotWithShape="1">
        <a:blip xmlns:r="http://schemas.openxmlformats.org/officeDocument/2006/relationships" r:embed="rId4"/>
        <a:srcRect l="4914" t="19635" r="9124" b="32923"/>
        <a:stretch/>
      </xdr:blipFill>
      <xdr:spPr>
        <a:xfrm>
          <a:off x="179917" y="8096250"/>
          <a:ext cx="1123950" cy="339138"/>
        </a:xfrm>
        <a:prstGeom prst="rect">
          <a:avLst/>
        </a:prstGeom>
      </xdr:spPr>
    </xdr:pic>
    <xdr:clientData/>
  </xdr:oneCellAnchor>
  <xdr:twoCellAnchor>
    <xdr:from>
      <xdr:col>10</xdr:col>
      <xdr:colOff>0</xdr:colOff>
      <xdr:row>179</xdr:row>
      <xdr:rowOff>0</xdr:rowOff>
    </xdr:from>
    <xdr:to>
      <xdr:col>15</xdr:col>
      <xdr:colOff>1</xdr:colOff>
      <xdr:row>186</xdr:row>
      <xdr:rowOff>171450</xdr:rowOff>
    </xdr:to>
    <xdr:sp macro="" textlink="">
      <xdr:nvSpPr>
        <xdr:cNvPr id="39" name="Tekstiruutu 38">
          <a:extLst>
            <a:ext uri="{FF2B5EF4-FFF2-40B4-BE49-F238E27FC236}">
              <a16:creationId xmlns:a16="http://schemas.microsoft.com/office/drawing/2014/main" id="{00000000-0008-0000-0F00-000027000000}"/>
            </a:ext>
          </a:extLst>
        </xdr:cNvPr>
        <xdr:cNvSpPr txBox="1"/>
      </xdr:nvSpPr>
      <xdr:spPr>
        <a:xfrm>
          <a:off x="7112000" y="8773583"/>
          <a:ext cx="3185584" cy="1684867"/>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100"/>
            <a:t>Tähän tulee tilan taustatietoja...</a:t>
          </a:r>
        </a:p>
      </xdr:txBody>
    </xdr:sp>
    <xdr:clientData/>
  </xdr:twoCellAnchor>
  <xdr:twoCellAnchor>
    <xdr:from>
      <xdr:col>25</xdr:col>
      <xdr:colOff>0</xdr:colOff>
      <xdr:row>179</xdr:row>
      <xdr:rowOff>0</xdr:rowOff>
    </xdr:from>
    <xdr:to>
      <xdr:col>30</xdr:col>
      <xdr:colOff>1</xdr:colOff>
      <xdr:row>186</xdr:row>
      <xdr:rowOff>171450</xdr:rowOff>
    </xdr:to>
    <xdr:sp macro="" textlink="">
      <xdr:nvSpPr>
        <xdr:cNvPr id="40" name="Tekstiruutu 39">
          <a:extLst>
            <a:ext uri="{FF2B5EF4-FFF2-40B4-BE49-F238E27FC236}">
              <a16:creationId xmlns:a16="http://schemas.microsoft.com/office/drawing/2014/main" id="{00000000-0008-0000-0F00-000028000000}"/>
            </a:ext>
          </a:extLst>
        </xdr:cNvPr>
        <xdr:cNvSpPr txBox="1"/>
      </xdr:nvSpPr>
      <xdr:spPr>
        <a:xfrm>
          <a:off x="16340667" y="8773583"/>
          <a:ext cx="3185584" cy="1684867"/>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100"/>
            <a:t>Tähän tulee tilan taustatietoja...</a:t>
          </a:r>
        </a:p>
      </xdr:txBody>
    </xdr:sp>
    <xdr:clientData/>
  </xdr:twoCellAnchor>
  <xdr:oneCellAnchor>
    <xdr:from>
      <xdr:col>1</xdr:col>
      <xdr:colOff>0</xdr:colOff>
      <xdr:row>223</xdr:row>
      <xdr:rowOff>0</xdr:rowOff>
    </xdr:from>
    <xdr:ext cx="1123950" cy="339138"/>
    <xdr:pic>
      <xdr:nvPicPr>
        <xdr:cNvPr id="41" name="Kuva 40">
          <a:hlinkClick xmlns:r="http://schemas.openxmlformats.org/officeDocument/2006/relationships" r:id="rId3"/>
          <a:extLst>
            <a:ext uri="{FF2B5EF4-FFF2-40B4-BE49-F238E27FC236}">
              <a16:creationId xmlns:a16="http://schemas.microsoft.com/office/drawing/2014/main" id="{00000000-0008-0000-0F00-000029000000}"/>
            </a:ext>
          </a:extLst>
        </xdr:cNvPr>
        <xdr:cNvPicPr>
          <a:picLocks noChangeAspect="1"/>
        </xdr:cNvPicPr>
      </xdr:nvPicPr>
      <xdr:blipFill rotWithShape="1">
        <a:blip xmlns:r="http://schemas.openxmlformats.org/officeDocument/2006/relationships" r:embed="rId4"/>
        <a:srcRect l="4914" t="19635" r="9124" b="32923"/>
        <a:stretch/>
      </xdr:blipFill>
      <xdr:spPr>
        <a:xfrm>
          <a:off x="179917" y="8096250"/>
          <a:ext cx="1123950" cy="339138"/>
        </a:xfrm>
        <a:prstGeom prst="rect">
          <a:avLst/>
        </a:prstGeom>
      </xdr:spPr>
    </xdr:pic>
    <xdr:clientData/>
  </xdr:oneCellAnchor>
  <xdr:twoCellAnchor>
    <xdr:from>
      <xdr:col>10</xdr:col>
      <xdr:colOff>0</xdr:colOff>
      <xdr:row>225</xdr:row>
      <xdr:rowOff>0</xdr:rowOff>
    </xdr:from>
    <xdr:to>
      <xdr:col>15</xdr:col>
      <xdr:colOff>1</xdr:colOff>
      <xdr:row>232</xdr:row>
      <xdr:rowOff>171450</xdr:rowOff>
    </xdr:to>
    <xdr:sp macro="" textlink="">
      <xdr:nvSpPr>
        <xdr:cNvPr id="42" name="Tekstiruutu 41">
          <a:extLst>
            <a:ext uri="{FF2B5EF4-FFF2-40B4-BE49-F238E27FC236}">
              <a16:creationId xmlns:a16="http://schemas.microsoft.com/office/drawing/2014/main" id="{00000000-0008-0000-0F00-00002A000000}"/>
            </a:ext>
          </a:extLst>
        </xdr:cNvPr>
        <xdr:cNvSpPr txBox="1"/>
      </xdr:nvSpPr>
      <xdr:spPr>
        <a:xfrm>
          <a:off x="7112000" y="8773583"/>
          <a:ext cx="3185584" cy="1684867"/>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100"/>
            <a:t>Tähän tulee tilan taustatietoja...</a:t>
          </a:r>
        </a:p>
      </xdr:txBody>
    </xdr:sp>
    <xdr:clientData/>
  </xdr:twoCellAnchor>
  <xdr:twoCellAnchor>
    <xdr:from>
      <xdr:col>25</xdr:col>
      <xdr:colOff>0</xdr:colOff>
      <xdr:row>225</xdr:row>
      <xdr:rowOff>0</xdr:rowOff>
    </xdr:from>
    <xdr:to>
      <xdr:col>30</xdr:col>
      <xdr:colOff>1</xdr:colOff>
      <xdr:row>232</xdr:row>
      <xdr:rowOff>171450</xdr:rowOff>
    </xdr:to>
    <xdr:sp macro="" textlink="">
      <xdr:nvSpPr>
        <xdr:cNvPr id="43" name="Tekstiruutu 42">
          <a:extLst>
            <a:ext uri="{FF2B5EF4-FFF2-40B4-BE49-F238E27FC236}">
              <a16:creationId xmlns:a16="http://schemas.microsoft.com/office/drawing/2014/main" id="{00000000-0008-0000-0F00-00002B000000}"/>
            </a:ext>
          </a:extLst>
        </xdr:cNvPr>
        <xdr:cNvSpPr txBox="1"/>
      </xdr:nvSpPr>
      <xdr:spPr>
        <a:xfrm>
          <a:off x="16340667" y="8773583"/>
          <a:ext cx="3185584" cy="1684867"/>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100"/>
            <a:t>Tähän tulee tilan taustatietoja...</a:t>
          </a:r>
        </a:p>
      </xdr:txBody>
    </xdr:sp>
    <xdr:clientData/>
  </xdr:twoCellAnchor>
  <xdr:twoCellAnchor>
    <xdr:from>
      <xdr:col>10</xdr:col>
      <xdr:colOff>0</xdr:colOff>
      <xdr:row>87</xdr:row>
      <xdr:rowOff>0</xdr:rowOff>
    </xdr:from>
    <xdr:to>
      <xdr:col>15</xdr:col>
      <xdr:colOff>1</xdr:colOff>
      <xdr:row>94</xdr:row>
      <xdr:rowOff>171450</xdr:rowOff>
    </xdr:to>
    <xdr:sp macro="" textlink="">
      <xdr:nvSpPr>
        <xdr:cNvPr id="44" name="Tekstiruutu 43">
          <a:extLst>
            <a:ext uri="{FF2B5EF4-FFF2-40B4-BE49-F238E27FC236}">
              <a16:creationId xmlns:a16="http://schemas.microsoft.com/office/drawing/2014/main" id="{00000000-0008-0000-0F00-00002C000000}"/>
            </a:ext>
          </a:extLst>
        </xdr:cNvPr>
        <xdr:cNvSpPr txBox="1"/>
      </xdr:nvSpPr>
      <xdr:spPr>
        <a:xfrm>
          <a:off x="5829300" y="523875"/>
          <a:ext cx="3171826" cy="1676400"/>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100"/>
            <a:t>Tähän tulee tilan taustatietoja...</a:t>
          </a:r>
        </a:p>
      </xdr:txBody>
    </xdr:sp>
    <xdr:clientData/>
  </xdr:twoCellAnchor>
  <xdr:twoCellAnchor>
    <xdr:from>
      <xdr:col>25</xdr:col>
      <xdr:colOff>0</xdr:colOff>
      <xdr:row>87</xdr:row>
      <xdr:rowOff>0</xdr:rowOff>
    </xdr:from>
    <xdr:to>
      <xdr:col>30</xdr:col>
      <xdr:colOff>1</xdr:colOff>
      <xdr:row>94</xdr:row>
      <xdr:rowOff>171450</xdr:rowOff>
    </xdr:to>
    <xdr:sp macro="" textlink="">
      <xdr:nvSpPr>
        <xdr:cNvPr id="45" name="Tekstiruutu 44">
          <a:extLst>
            <a:ext uri="{FF2B5EF4-FFF2-40B4-BE49-F238E27FC236}">
              <a16:creationId xmlns:a16="http://schemas.microsoft.com/office/drawing/2014/main" id="{00000000-0008-0000-0F00-00002D000000}"/>
            </a:ext>
          </a:extLst>
        </xdr:cNvPr>
        <xdr:cNvSpPr txBox="1"/>
      </xdr:nvSpPr>
      <xdr:spPr>
        <a:xfrm>
          <a:off x="15011400" y="523875"/>
          <a:ext cx="3171826" cy="1676400"/>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100"/>
            <a:t>Tähän tulee tilan taustatietoja...</a:t>
          </a:r>
        </a:p>
      </xdr:txBody>
    </xdr:sp>
    <xdr:clientData/>
  </xdr:twoCellAnchor>
  <xdr:twoCellAnchor>
    <xdr:from>
      <xdr:col>10</xdr:col>
      <xdr:colOff>0</xdr:colOff>
      <xdr:row>133</xdr:row>
      <xdr:rowOff>0</xdr:rowOff>
    </xdr:from>
    <xdr:to>
      <xdr:col>15</xdr:col>
      <xdr:colOff>1</xdr:colOff>
      <xdr:row>140</xdr:row>
      <xdr:rowOff>171450</xdr:rowOff>
    </xdr:to>
    <xdr:sp macro="" textlink="">
      <xdr:nvSpPr>
        <xdr:cNvPr id="46" name="Tekstiruutu 45">
          <a:extLst>
            <a:ext uri="{FF2B5EF4-FFF2-40B4-BE49-F238E27FC236}">
              <a16:creationId xmlns:a16="http://schemas.microsoft.com/office/drawing/2014/main" id="{00000000-0008-0000-0F00-00002E000000}"/>
            </a:ext>
          </a:extLst>
        </xdr:cNvPr>
        <xdr:cNvSpPr txBox="1"/>
      </xdr:nvSpPr>
      <xdr:spPr>
        <a:xfrm>
          <a:off x="5829300" y="523875"/>
          <a:ext cx="3171826" cy="1676400"/>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100"/>
            <a:t>Tähän tulee tilan taustatietoja...</a:t>
          </a:r>
        </a:p>
      </xdr:txBody>
    </xdr:sp>
    <xdr:clientData/>
  </xdr:twoCellAnchor>
  <xdr:twoCellAnchor>
    <xdr:from>
      <xdr:col>25</xdr:col>
      <xdr:colOff>0</xdr:colOff>
      <xdr:row>133</xdr:row>
      <xdr:rowOff>0</xdr:rowOff>
    </xdr:from>
    <xdr:to>
      <xdr:col>30</xdr:col>
      <xdr:colOff>1</xdr:colOff>
      <xdr:row>140</xdr:row>
      <xdr:rowOff>171450</xdr:rowOff>
    </xdr:to>
    <xdr:sp macro="" textlink="">
      <xdr:nvSpPr>
        <xdr:cNvPr id="47" name="Tekstiruutu 46">
          <a:extLst>
            <a:ext uri="{FF2B5EF4-FFF2-40B4-BE49-F238E27FC236}">
              <a16:creationId xmlns:a16="http://schemas.microsoft.com/office/drawing/2014/main" id="{00000000-0008-0000-0F00-00002F000000}"/>
            </a:ext>
          </a:extLst>
        </xdr:cNvPr>
        <xdr:cNvSpPr txBox="1"/>
      </xdr:nvSpPr>
      <xdr:spPr>
        <a:xfrm>
          <a:off x="15011400" y="523875"/>
          <a:ext cx="3171826" cy="1676400"/>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100"/>
            <a:t>Tähän tulee tilan taustatietoja...</a:t>
          </a:r>
        </a:p>
      </xdr:txBody>
    </xdr:sp>
    <xdr:clientData/>
  </xdr:twoCellAnchor>
  <xdr:twoCellAnchor>
    <xdr:from>
      <xdr:col>25</xdr:col>
      <xdr:colOff>0</xdr:colOff>
      <xdr:row>133</xdr:row>
      <xdr:rowOff>0</xdr:rowOff>
    </xdr:from>
    <xdr:to>
      <xdr:col>30</xdr:col>
      <xdr:colOff>1</xdr:colOff>
      <xdr:row>140</xdr:row>
      <xdr:rowOff>171450</xdr:rowOff>
    </xdr:to>
    <xdr:sp macro="" textlink="">
      <xdr:nvSpPr>
        <xdr:cNvPr id="48" name="Tekstiruutu 47">
          <a:extLst>
            <a:ext uri="{FF2B5EF4-FFF2-40B4-BE49-F238E27FC236}">
              <a16:creationId xmlns:a16="http://schemas.microsoft.com/office/drawing/2014/main" id="{00000000-0008-0000-0F00-000030000000}"/>
            </a:ext>
          </a:extLst>
        </xdr:cNvPr>
        <xdr:cNvSpPr txBox="1"/>
      </xdr:nvSpPr>
      <xdr:spPr>
        <a:xfrm>
          <a:off x="15011400" y="523875"/>
          <a:ext cx="3171826" cy="1676400"/>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100"/>
            <a:t>Tähän tulee tilan taustatietoja...</a:t>
          </a:r>
        </a:p>
      </xdr:txBody>
    </xdr:sp>
    <xdr:clientData/>
  </xdr:twoCellAnchor>
  <xdr:twoCellAnchor>
    <xdr:from>
      <xdr:col>1</xdr:col>
      <xdr:colOff>21165</xdr:colOff>
      <xdr:row>24</xdr:row>
      <xdr:rowOff>10585</xdr:rowOff>
    </xdr:from>
    <xdr:to>
      <xdr:col>1</xdr:col>
      <xdr:colOff>1090082</xdr:colOff>
      <xdr:row>26</xdr:row>
      <xdr:rowOff>10585</xdr:rowOff>
    </xdr:to>
    <xdr:sp macro="" textlink="">
      <xdr:nvSpPr>
        <xdr:cNvPr id="49" name="Pyöristetty suorakulmio 48" descr="Klikkaa tästä!" title="Siirry alkuun">
          <a:hlinkClick xmlns:r="http://schemas.openxmlformats.org/officeDocument/2006/relationships" r:id="rId9"/>
          <a:extLst>
            <a:ext uri="{FF2B5EF4-FFF2-40B4-BE49-F238E27FC236}">
              <a16:creationId xmlns:a16="http://schemas.microsoft.com/office/drawing/2014/main" id="{00000000-0008-0000-0F00-000031000000}"/>
            </a:ext>
          </a:extLst>
        </xdr:cNvPr>
        <xdr:cNvSpPr/>
      </xdr:nvSpPr>
      <xdr:spPr>
        <a:xfrm>
          <a:off x="201082" y="3788835"/>
          <a:ext cx="1068917" cy="381000"/>
        </a:xfrm>
        <a:prstGeom prst="roundRect">
          <a:avLst/>
        </a:prstGeom>
        <a:solidFill>
          <a:srgbClr val="FFCCCC"/>
        </a:solidFill>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fi-FI" sz="1200"/>
            <a:t>Lihahieho</a:t>
          </a:r>
          <a:endParaRPr lang="fi-FI" sz="1050"/>
        </a:p>
      </xdr:txBody>
    </xdr:sp>
    <xdr:clientData/>
  </xdr:twoCellAnchor>
  <xdr:twoCellAnchor>
    <xdr:from>
      <xdr:col>1</xdr:col>
      <xdr:colOff>21165</xdr:colOff>
      <xdr:row>9</xdr:row>
      <xdr:rowOff>10585</xdr:rowOff>
    </xdr:from>
    <xdr:to>
      <xdr:col>1</xdr:col>
      <xdr:colOff>1090082</xdr:colOff>
      <xdr:row>10</xdr:row>
      <xdr:rowOff>148166</xdr:rowOff>
    </xdr:to>
    <xdr:sp macro="" textlink="">
      <xdr:nvSpPr>
        <xdr:cNvPr id="50" name="Pyöristetty suorakulmio 49" descr="Klikkaa tästä!" title="Siirry alkuun">
          <a:hlinkClick xmlns:r="http://schemas.openxmlformats.org/officeDocument/2006/relationships" r:id="rId1"/>
          <a:extLst>
            <a:ext uri="{FF2B5EF4-FFF2-40B4-BE49-F238E27FC236}">
              <a16:creationId xmlns:a16="http://schemas.microsoft.com/office/drawing/2014/main" id="{00000000-0008-0000-0F00-000032000000}"/>
            </a:ext>
          </a:extLst>
        </xdr:cNvPr>
        <xdr:cNvSpPr/>
      </xdr:nvSpPr>
      <xdr:spPr>
        <a:xfrm>
          <a:off x="201082" y="2201335"/>
          <a:ext cx="1068917" cy="380998"/>
        </a:xfrm>
        <a:prstGeom prst="roundRect">
          <a:avLst/>
        </a:prstGeom>
        <a:solidFill>
          <a:srgbClr val="92D050"/>
        </a:solidFill>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fi-FI" sz="1200"/>
            <a:t>Säilörehu</a:t>
          </a:r>
          <a:endParaRPr lang="fi-FI" sz="1050"/>
        </a:p>
      </xdr:txBody>
    </xdr:sp>
    <xdr:clientData/>
  </xdr:twoCellAnchor>
  <xdr:twoCellAnchor>
    <xdr:from>
      <xdr:col>1</xdr:col>
      <xdr:colOff>132290</xdr:colOff>
      <xdr:row>71</xdr:row>
      <xdr:rowOff>42333</xdr:rowOff>
    </xdr:from>
    <xdr:to>
      <xdr:col>1</xdr:col>
      <xdr:colOff>966257</xdr:colOff>
      <xdr:row>74</xdr:row>
      <xdr:rowOff>183092</xdr:rowOff>
    </xdr:to>
    <xdr:sp macro="" textlink="">
      <xdr:nvSpPr>
        <xdr:cNvPr id="51" name="Pyöristetty suorakulmio 50" descr="Klikkaa tästä!" title="Siirry alkuun">
          <a:hlinkClick xmlns:r="http://schemas.openxmlformats.org/officeDocument/2006/relationships" r:id="rId1"/>
          <a:extLst>
            <a:ext uri="{FF2B5EF4-FFF2-40B4-BE49-F238E27FC236}">
              <a16:creationId xmlns:a16="http://schemas.microsoft.com/office/drawing/2014/main" id="{00000000-0008-0000-0F00-000033000000}"/>
            </a:ext>
          </a:extLst>
        </xdr:cNvPr>
        <xdr:cNvSpPr/>
      </xdr:nvSpPr>
      <xdr:spPr>
        <a:xfrm>
          <a:off x="312207" y="6731000"/>
          <a:ext cx="833967" cy="733425"/>
        </a:xfrm>
        <a:prstGeom prst="roundRect">
          <a:avLst/>
        </a:prstGeom>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fi-FI" sz="1600"/>
            <a:t>Siirry alkuun</a:t>
          </a:r>
        </a:p>
      </xdr:txBody>
    </xdr:sp>
    <xdr:clientData/>
  </xdr:twoCellAnchor>
  <xdr:twoCellAnchor>
    <xdr:from>
      <xdr:col>1</xdr:col>
      <xdr:colOff>21165</xdr:colOff>
      <xdr:row>41</xdr:row>
      <xdr:rowOff>10585</xdr:rowOff>
    </xdr:from>
    <xdr:to>
      <xdr:col>1</xdr:col>
      <xdr:colOff>1090082</xdr:colOff>
      <xdr:row>43</xdr:row>
      <xdr:rowOff>10585</xdr:rowOff>
    </xdr:to>
    <xdr:sp macro="" textlink="">
      <xdr:nvSpPr>
        <xdr:cNvPr id="52" name="Pyöristetty suorakulmio 51" descr="Klikkaa tästä!" title="Siirry alkuun">
          <a:hlinkClick xmlns:r="http://schemas.openxmlformats.org/officeDocument/2006/relationships" r:id="rId2"/>
          <a:extLst>
            <a:ext uri="{FF2B5EF4-FFF2-40B4-BE49-F238E27FC236}">
              <a16:creationId xmlns:a16="http://schemas.microsoft.com/office/drawing/2014/main" id="{00000000-0008-0000-0F00-000034000000}"/>
            </a:ext>
          </a:extLst>
        </xdr:cNvPr>
        <xdr:cNvSpPr/>
      </xdr:nvSpPr>
      <xdr:spPr>
        <a:xfrm>
          <a:off x="201082" y="687918"/>
          <a:ext cx="1068917" cy="539750"/>
        </a:xfrm>
        <a:prstGeom prst="roundRect">
          <a:avLst/>
        </a:prstGeom>
        <a:solidFill>
          <a:srgbClr val="98F20F"/>
        </a:solidFill>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fi-FI" sz="1200"/>
            <a:t>Lähtötiedot</a:t>
          </a:r>
          <a:endParaRPr lang="fi-FI" sz="1050"/>
        </a:p>
      </xdr:txBody>
    </xdr:sp>
    <xdr:clientData/>
  </xdr:twoCellAnchor>
  <xdr:oneCellAnchor>
    <xdr:from>
      <xdr:col>1</xdr:col>
      <xdr:colOff>0</xdr:colOff>
      <xdr:row>39</xdr:row>
      <xdr:rowOff>0</xdr:rowOff>
    </xdr:from>
    <xdr:ext cx="1123950" cy="339138"/>
    <xdr:pic>
      <xdr:nvPicPr>
        <xdr:cNvPr id="53" name="Kuva 52">
          <a:hlinkClick xmlns:r="http://schemas.openxmlformats.org/officeDocument/2006/relationships" r:id="rId3"/>
          <a:extLst>
            <a:ext uri="{FF2B5EF4-FFF2-40B4-BE49-F238E27FC236}">
              <a16:creationId xmlns:a16="http://schemas.microsoft.com/office/drawing/2014/main" id="{00000000-0008-0000-0F00-000035000000}"/>
            </a:ext>
          </a:extLst>
        </xdr:cNvPr>
        <xdr:cNvPicPr>
          <a:picLocks noChangeAspect="1"/>
        </xdr:cNvPicPr>
      </xdr:nvPicPr>
      <xdr:blipFill rotWithShape="1">
        <a:blip xmlns:r="http://schemas.openxmlformats.org/officeDocument/2006/relationships" r:embed="rId4"/>
        <a:srcRect l="4914" t="19635" r="9124" b="32923"/>
        <a:stretch/>
      </xdr:blipFill>
      <xdr:spPr>
        <a:xfrm>
          <a:off x="179917" y="0"/>
          <a:ext cx="1123950" cy="339138"/>
        </a:xfrm>
        <a:prstGeom prst="rect">
          <a:avLst/>
        </a:prstGeom>
      </xdr:spPr>
    </xdr:pic>
    <xdr:clientData/>
  </xdr:oneCellAnchor>
  <xdr:twoCellAnchor>
    <xdr:from>
      <xdr:col>1</xdr:col>
      <xdr:colOff>21165</xdr:colOff>
      <xdr:row>51</xdr:row>
      <xdr:rowOff>10585</xdr:rowOff>
    </xdr:from>
    <xdr:to>
      <xdr:col>1</xdr:col>
      <xdr:colOff>1090082</xdr:colOff>
      <xdr:row>53</xdr:row>
      <xdr:rowOff>10585</xdr:rowOff>
    </xdr:to>
    <xdr:sp macro="" textlink="">
      <xdr:nvSpPr>
        <xdr:cNvPr id="54" name="Pyöristetty suorakulmio 53" descr="Klikkaa tästä!" title="Siirry alkuun">
          <a:hlinkClick xmlns:r="http://schemas.openxmlformats.org/officeDocument/2006/relationships" r:id="rId5"/>
          <a:extLst>
            <a:ext uri="{FF2B5EF4-FFF2-40B4-BE49-F238E27FC236}">
              <a16:creationId xmlns:a16="http://schemas.microsoft.com/office/drawing/2014/main" id="{00000000-0008-0000-0F00-000036000000}"/>
            </a:ext>
          </a:extLst>
        </xdr:cNvPr>
        <xdr:cNvSpPr/>
      </xdr:nvSpPr>
      <xdr:spPr>
        <a:xfrm>
          <a:off x="201082" y="2836335"/>
          <a:ext cx="1068917" cy="381000"/>
        </a:xfrm>
        <a:prstGeom prst="roundRect">
          <a:avLst/>
        </a:prstGeom>
        <a:solidFill>
          <a:srgbClr val="FFCCFF"/>
        </a:solidFill>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fi-FI" sz="1200"/>
            <a:t>Maito</a:t>
          </a:r>
          <a:endParaRPr lang="fi-FI" sz="1050"/>
        </a:p>
      </xdr:txBody>
    </xdr:sp>
    <xdr:clientData/>
  </xdr:twoCellAnchor>
  <xdr:twoCellAnchor>
    <xdr:from>
      <xdr:col>1</xdr:col>
      <xdr:colOff>21165</xdr:colOff>
      <xdr:row>54</xdr:row>
      <xdr:rowOff>10585</xdr:rowOff>
    </xdr:from>
    <xdr:to>
      <xdr:col>1</xdr:col>
      <xdr:colOff>1090082</xdr:colOff>
      <xdr:row>56</xdr:row>
      <xdr:rowOff>10585</xdr:rowOff>
    </xdr:to>
    <xdr:sp macro="" textlink="">
      <xdr:nvSpPr>
        <xdr:cNvPr id="55" name="Pyöristetty suorakulmio 54" descr="Klikkaa tästä!" title="Siirry alkuun">
          <a:hlinkClick xmlns:r="http://schemas.openxmlformats.org/officeDocument/2006/relationships" r:id="rId6"/>
          <a:extLst>
            <a:ext uri="{FF2B5EF4-FFF2-40B4-BE49-F238E27FC236}">
              <a16:creationId xmlns:a16="http://schemas.microsoft.com/office/drawing/2014/main" id="{00000000-0008-0000-0F00-000037000000}"/>
            </a:ext>
          </a:extLst>
        </xdr:cNvPr>
        <xdr:cNvSpPr/>
      </xdr:nvSpPr>
      <xdr:spPr>
        <a:xfrm>
          <a:off x="201082" y="3407835"/>
          <a:ext cx="1068917" cy="381000"/>
        </a:xfrm>
        <a:prstGeom prst="roundRect">
          <a:avLst/>
        </a:prstGeom>
        <a:solidFill>
          <a:srgbClr val="FF66FF"/>
        </a:solidFill>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fi-FI" sz="1200"/>
            <a:t>Yhdistelmä</a:t>
          </a:r>
          <a:endParaRPr lang="fi-FI" sz="1050"/>
        </a:p>
      </xdr:txBody>
    </xdr:sp>
    <xdr:clientData/>
  </xdr:twoCellAnchor>
  <xdr:twoCellAnchor>
    <xdr:from>
      <xdr:col>1</xdr:col>
      <xdr:colOff>21165</xdr:colOff>
      <xdr:row>57</xdr:row>
      <xdr:rowOff>10585</xdr:rowOff>
    </xdr:from>
    <xdr:to>
      <xdr:col>1</xdr:col>
      <xdr:colOff>1090082</xdr:colOff>
      <xdr:row>59</xdr:row>
      <xdr:rowOff>10585</xdr:rowOff>
    </xdr:to>
    <xdr:sp macro="" textlink="">
      <xdr:nvSpPr>
        <xdr:cNvPr id="56" name="Pyöristetty suorakulmio 55" descr="Klikkaa tästä!" title="Siirry alkuun">
          <a:hlinkClick xmlns:r="http://schemas.openxmlformats.org/officeDocument/2006/relationships" r:id="rId7"/>
          <a:extLst>
            <a:ext uri="{FF2B5EF4-FFF2-40B4-BE49-F238E27FC236}">
              <a16:creationId xmlns:a16="http://schemas.microsoft.com/office/drawing/2014/main" id="{00000000-0008-0000-0F00-000038000000}"/>
            </a:ext>
          </a:extLst>
        </xdr:cNvPr>
        <xdr:cNvSpPr/>
      </xdr:nvSpPr>
      <xdr:spPr>
        <a:xfrm>
          <a:off x="201082" y="3979335"/>
          <a:ext cx="1068917" cy="381000"/>
        </a:xfrm>
        <a:prstGeom prst="roundRect">
          <a:avLst/>
        </a:prstGeom>
        <a:solidFill>
          <a:srgbClr val="FF66CC"/>
        </a:solidFill>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fi-FI" sz="1200"/>
            <a:t>Pihvivasikka</a:t>
          </a:r>
          <a:endParaRPr lang="fi-FI" sz="1050"/>
        </a:p>
      </xdr:txBody>
    </xdr:sp>
    <xdr:clientData/>
  </xdr:twoCellAnchor>
  <xdr:twoCellAnchor>
    <xdr:from>
      <xdr:col>1</xdr:col>
      <xdr:colOff>21165</xdr:colOff>
      <xdr:row>60</xdr:row>
      <xdr:rowOff>10585</xdr:rowOff>
    </xdr:from>
    <xdr:to>
      <xdr:col>1</xdr:col>
      <xdr:colOff>1090082</xdr:colOff>
      <xdr:row>62</xdr:row>
      <xdr:rowOff>10585</xdr:rowOff>
    </xdr:to>
    <xdr:sp macro="" textlink="">
      <xdr:nvSpPr>
        <xdr:cNvPr id="57" name="Pyöristetty suorakulmio 56" descr="Klikkaa tästä!" title="Siirry alkuun">
          <a:hlinkClick xmlns:r="http://schemas.openxmlformats.org/officeDocument/2006/relationships" r:id="rId8"/>
          <a:extLst>
            <a:ext uri="{FF2B5EF4-FFF2-40B4-BE49-F238E27FC236}">
              <a16:creationId xmlns:a16="http://schemas.microsoft.com/office/drawing/2014/main" id="{00000000-0008-0000-0F00-000039000000}"/>
            </a:ext>
          </a:extLst>
        </xdr:cNvPr>
        <xdr:cNvSpPr/>
      </xdr:nvSpPr>
      <xdr:spPr>
        <a:xfrm>
          <a:off x="201082" y="4550835"/>
          <a:ext cx="1068917" cy="381000"/>
        </a:xfrm>
        <a:prstGeom prst="roundRect">
          <a:avLst/>
        </a:prstGeom>
        <a:solidFill>
          <a:srgbClr val="FF99CC"/>
        </a:solidFill>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fi-FI" sz="1200"/>
            <a:t>Lihasonni</a:t>
          </a:r>
          <a:endParaRPr lang="fi-FI" sz="1050"/>
        </a:p>
      </xdr:txBody>
    </xdr:sp>
    <xdr:clientData/>
  </xdr:twoCellAnchor>
  <xdr:twoCellAnchor>
    <xdr:from>
      <xdr:col>1</xdr:col>
      <xdr:colOff>21165</xdr:colOff>
      <xdr:row>63</xdr:row>
      <xdr:rowOff>10585</xdr:rowOff>
    </xdr:from>
    <xdr:to>
      <xdr:col>1</xdr:col>
      <xdr:colOff>1090082</xdr:colOff>
      <xdr:row>65</xdr:row>
      <xdr:rowOff>10585</xdr:rowOff>
    </xdr:to>
    <xdr:sp macro="" textlink="">
      <xdr:nvSpPr>
        <xdr:cNvPr id="58" name="Pyöristetty suorakulmio 57" descr="Klikkaa tästä!" title="Siirry alkuun">
          <a:hlinkClick xmlns:r="http://schemas.openxmlformats.org/officeDocument/2006/relationships" r:id="rId9"/>
          <a:extLst>
            <a:ext uri="{FF2B5EF4-FFF2-40B4-BE49-F238E27FC236}">
              <a16:creationId xmlns:a16="http://schemas.microsoft.com/office/drawing/2014/main" id="{00000000-0008-0000-0F00-00003A000000}"/>
            </a:ext>
          </a:extLst>
        </xdr:cNvPr>
        <xdr:cNvSpPr/>
      </xdr:nvSpPr>
      <xdr:spPr>
        <a:xfrm>
          <a:off x="201082" y="5122335"/>
          <a:ext cx="1068917" cy="391583"/>
        </a:xfrm>
        <a:prstGeom prst="roundRect">
          <a:avLst/>
        </a:prstGeom>
        <a:solidFill>
          <a:srgbClr val="FFCCCC"/>
        </a:solidFill>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fi-FI" sz="1200"/>
            <a:t>Lihahieho</a:t>
          </a:r>
          <a:endParaRPr lang="fi-FI" sz="1050"/>
        </a:p>
      </xdr:txBody>
    </xdr:sp>
    <xdr:clientData/>
  </xdr:twoCellAnchor>
  <xdr:twoCellAnchor>
    <xdr:from>
      <xdr:col>1</xdr:col>
      <xdr:colOff>21165</xdr:colOff>
      <xdr:row>48</xdr:row>
      <xdr:rowOff>10585</xdr:rowOff>
    </xdr:from>
    <xdr:to>
      <xdr:col>1</xdr:col>
      <xdr:colOff>1090082</xdr:colOff>
      <xdr:row>49</xdr:row>
      <xdr:rowOff>148166</xdr:rowOff>
    </xdr:to>
    <xdr:sp macro="" textlink="">
      <xdr:nvSpPr>
        <xdr:cNvPr id="59" name="Pyöristetty suorakulmio 58" descr="Klikkaa tästä!" title="Siirry alkuun">
          <a:hlinkClick xmlns:r="http://schemas.openxmlformats.org/officeDocument/2006/relationships" r:id="rId1"/>
          <a:extLst>
            <a:ext uri="{FF2B5EF4-FFF2-40B4-BE49-F238E27FC236}">
              <a16:creationId xmlns:a16="http://schemas.microsoft.com/office/drawing/2014/main" id="{00000000-0008-0000-0F00-00003B000000}"/>
            </a:ext>
          </a:extLst>
        </xdr:cNvPr>
        <xdr:cNvSpPr/>
      </xdr:nvSpPr>
      <xdr:spPr>
        <a:xfrm>
          <a:off x="201082" y="2201335"/>
          <a:ext cx="1068917" cy="380998"/>
        </a:xfrm>
        <a:prstGeom prst="roundRect">
          <a:avLst/>
        </a:prstGeom>
        <a:solidFill>
          <a:srgbClr val="92D050"/>
        </a:solidFill>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fi-FI" sz="1200"/>
            <a:t>Säilörehu</a:t>
          </a:r>
          <a:endParaRPr lang="fi-FI" sz="1050"/>
        </a:p>
      </xdr:txBody>
    </xdr:sp>
    <xdr:clientData/>
  </xdr:twoCellAnchor>
  <xdr:twoCellAnchor>
    <xdr:from>
      <xdr:col>1</xdr:col>
      <xdr:colOff>132290</xdr:colOff>
      <xdr:row>117</xdr:row>
      <xdr:rowOff>42333</xdr:rowOff>
    </xdr:from>
    <xdr:to>
      <xdr:col>1</xdr:col>
      <xdr:colOff>966257</xdr:colOff>
      <xdr:row>120</xdr:row>
      <xdr:rowOff>183092</xdr:rowOff>
    </xdr:to>
    <xdr:sp macro="" textlink="">
      <xdr:nvSpPr>
        <xdr:cNvPr id="60" name="Pyöristetty suorakulmio 59" descr="Klikkaa tästä!" title="Siirry alkuun">
          <a:hlinkClick xmlns:r="http://schemas.openxmlformats.org/officeDocument/2006/relationships" r:id="rId1"/>
          <a:extLst>
            <a:ext uri="{FF2B5EF4-FFF2-40B4-BE49-F238E27FC236}">
              <a16:creationId xmlns:a16="http://schemas.microsoft.com/office/drawing/2014/main" id="{00000000-0008-0000-0F00-00003C000000}"/>
            </a:ext>
          </a:extLst>
        </xdr:cNvPr>
        <xdr:cNvSpPr/>
      </xdr:nvSpPr>
      <xdr:spPr>
        <a:xfrm>
          <a:off x="312207" y="6731000"/>
          <a:ext cx="833967" cy="733425"/>
        </a:xfrm>
        <a:prstGeom prst="roundRect">
          <a:avLst/>
        </a:prstGeom>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fi-FI" sz="1600"/>
            <a:t>Siirry alkuun</a:t>
          </a:r>
        </a:p>
      </xdr:txBody>
    </xdr:sp>
    <xdr:clientData/>
  </xdr:twoCellAnchor>
  <xdr:twoCellAnchor>
    <xdr:from>
      <xdr:col>1</xdr:col>
      <xdr:colOff>21165</xdr:colOff>
      <xdr:row>87</xdr:row>
      <xdr:rowOff>10585</xdr:rowOff>
    </xdr:from>
    <xdr:to>
      <xdr:col>1</xdr:col>
      <xdr:colOff>1090082</xdr:colOff>
      <xdr:row>89</xdr:row>
      <xdr:rowOff>10585</xdr:rowOff>
    </xdr:to>
    <xdr:sp macro="" textlink="">
      <xdr:nvSpPr>
        <xdr:cNvPr id="61" name="Pyöristetty suorakulmio 60" descr="Klikkaa tästä!" title="Siirry alkuun">
          <a:hlinkClick xmlns:r="http://schemas.openxmlformats.org/officeDocument/2006/relationships" r:id="rId2"/>
          <a:extLst>
            <a:ext uri="{FF2B5EF4-FFF2-40B4-BE49-F238E27FC236}">
              <a16:creationId xmlns:a16="http://schemas.microsoft.com/office/drawing/2014/main" id="{00000000-0008-0000-0F00-00003D000000}"/>
            </a:ext>
          </a:extLst>
        </xdr:cNvPr>
        <xdr:cNvSpPr/>
      </xdr:nvSpPr>
      <xdr:spPr>
        <a:xfrm>
          <a:off x="201082" y="687918"/>
          <a:ext cx="1068917" cy="539750"/>
        </a:xfrm>
        <a:prstGeom prst="roundRect">
          <a:avLst/>
        </a:prstGeom>
        <a:solidFill>
          <a:srgbClr val="98F20F"/>
        </a:solidFill>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fi-FI" sz="1200"/>
            <a:t>Lähtötiedot</a:t>
          </a:r>
          <a:endParaRPr lang="fi-FI" sz="1050"/>
        </a:p>
      </xdr:txBody>
    </xdr:sp>
    <xdr:clientData/>
  </xdr:twoCellAnchor>
  <xdr:oneCellAnchor>
    <xdr:from>
      <xdr:col>1</xdr:col>
      <xdr:colOff>0</xdr:colOff>
      <xdr:row>85</xdr:row>
      <xdr:rowOff>0</xdr:rowOff>
    </xdr:from>
    <xdr:ext cx="1123950" cy="339138"/>
    <xdr:pic>
      <xdr:nvPicPr>
        <xdr:cNvPr id="62" name="Kuva 61">
          <a:hlinkClick xmlns:r="http://schemas.openxmlformats.org/officeDocument/2006/relationships" r:id="rId3"/>
          <a:extLst>
            <a:ext uri="{FF2B5EF4-FFF2-40B4-BE49-F238E27FC236}">
              <a16:creationId xmlns:a16="http://schemas.microsoft.com/office/drawing/2014/main" id="{00000000-0008-0000-0F00-00003E000000}"/>
            </a:ext>
          </a:extLst>
        </xdr:cNvPr>
        <xdr:cNvPicPr>
          <a:picLocks noChangeAspect="1"/>
        </xdr:cNvPicPr>
      </xdr:nvPicPr>
      <xdr:blipFill rotWithShape="1">
        <a:blip xmlns:r="http://schemas.openxmlformats.org/officeDocument/2006/relationships" r:embed="rId4"/>
        <a:srcRect l="4914" t="19635" r="9124" b="32923"/>
        <a:stretch/>
      </xdr:blipFill>
      <xdr:spPr>
        <a:xfrm>
          <a:off x="179917" y="0"/>
          <a:ext cx="1123950" cy="339138"/>
        </a:xfrm>
        <a:prstGeom prst="rect">
          <a:avLst/>
        </a:prstGeom>
      </xdr:spPr>
    </xdr:pic>
    <xdr:clientData/>
  </xdr:oneCellAnchor>
  <xdr:twoCellAnchor>
    <xdr:from>
      <xdr:col>1</xdr:col>
      <xdr:colOff>21165</xdr:colOff>
      <xdr:row>97</xdr:row>
      <xdr:rowOff>10585</xdr:rowOff>
    </xdr:from>
    <xdr:to>
      <xdr:col>1</xdr:col>
      <xdr:colOff>1090082</xdr:colOff>
      <xdr:row>99</xdr:row>
      <xdr:rowOff>10585</xdr:rowOff>
    </xdr:to>
    <xdr:sp macro="" textlink="">
      <xdr:nvSpPr>
        <xdr:cNvPr id="63" name="Pyöristetty suorakulmio 62" descr="Klikkaa tästä!" title="Siirry alkuun">
          <a:hlinkClick xmlns:r="http://schemas.openxmlformats.org/officeDocument/2006/relationships" r:id="rId5"/>
          <a:extLst>
            <a:ext uri="{FF2B5EF4-FFF2-40B4-BE49-F238E27FC236}">
              <a16:creationId xmlns:a16="http://schemas.microsoft.com/office/drawing/2014/main" id="{00000000-0008-0000-0F00-00003F000000}"/>
            </a:ext>
          </a:extLst>
        </xdr:cNvPr>
        <xdr:cNvSpPr/>
      </xdr:nvSpPr>
      <xdr:spPr>
        <a:xfrm>
          <a:off x="201082" y="2836335"/>
          <a:ext cx="1068917" cy="381000"/>
        </a:xfrm>
        <a:prstGeom prst="roundRect">
          <a:avLst/>
        </a:prstGeom>
        <a:solidFill>
          <a:srgbClr val="FFCCFF"/>
        </a:solidFill>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fi-FI" sz="1200"/>
            <a:t>Maito</a:t>
          </a:r>
          <a:endParaRPr lang="fi-FI" sz="1050"/>
        </a:p>
      </xdr:txBody>
    </xdr:sp>
    <xdr:clientData/>
  </xdr:twoCellAnchor>
  <xdr:twoCellAnchor>
    <xdr:from>
      <xdr:col>1</xdr:col>
      <xdr:colOff>21165</xdr:colOff>
      <xdr:row>100</xdr:row>
      <xdr:rowOff>10585</xdr:rowOff>
    </xdr:from>
    <xdr:to>
      <xdr:col>1</xdr:col>
      <xdr:colOff>1090082</xdr:colOff>
      <xdr:row>102</xdr:row>
      <xdr:rowOff>10585</xdr:rowOff>
    </xdr:to>
    <xdr:sp macro="" textlink="">
      <xdr:nvSpPr>
        <xdr:cNvPr id="64" name="Pyöristetty suorakulmio 63" descr="Klikkaa tästä!" title="Siirry alkuun">
          <a:hlinkClick xmlns:r="http://schemas.openxmlformats.org/officeDocument/2006/relationships" r:id="rId6"/>
          <a:extLst>
            <a:ext uri="{FF2B5EF4-FFF2-40B4-BE49-F238E27FC236}">
              <a16:creationId xmlns:a16="http://schemas.microsoft.com/office/drawing/2014/main" id="{00000000-0008-0000-0F00-000040000000}"/>
            </a:ext>
          </a:extLst>
        </xdr:cNvPr>
        <xdr:cNvSpPr/>
      </xdr:nvSpPr>
      <xdr:spPr>
        <a:xfrm>
          <a:off x="201082" y="3407835"/>
          <a:ext cx="1068917" cy="381000"/>
        </a:xfrm>
        <a:prstGeom prst="roundRect">
          <a:avLst/>
        </a:prstGeom>
        <a:solidFill>
          <a:srgbClr val="FF66FF"/>
        </a:solidFill>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fi-FI" sz="1200"/>
            <a:t>Yhdistelmä</a:t>
          </a:r>
          <a:endParaRPr lang="fi-FI" sz="1050"/>
        </a:p>
      </xdr:txBody>
    </xdr:sp>
    <xdr:clientData/>
  </xdr:twoCellAnchor>
  <xdr:twoCellAnchor>
    <xdr:from>
      <xdr:col>1</xdr:col>
      <xdr:colOff>21165</xdr:colOff>
      <xdr:row>103</xdr:row>
      <xdr:rowOff>10585</xdr:rowOff>
    </xdr:from>
    <xdr:to>
      <xdr:col>1</xdr:col>
      <xdr:colOff>1090082</xdr:colOff>
      <xdr:row>105</xdr:row>
      <xdr:rowOff>10585</xdr:rowOff>
    </xdr:to>
    <xdr:sp macro="" textlink="">
      <xdr:nvSpPr>
        <xdr:cNvPr id="65" name="Pyöristetty suorakulmio 64" descr="Klikkaa tästä!" title="Siirry alkuun">
          <a:hlinkClick xmlns:r="http://schemas.openxmlformats.org/officeDocument/2006/relationships" r:id="rId7"/>
          <a:extLst>
            <a:ext uri="{FF2B5EF4-FFF2-40B4-BE49-F238E27FC236}">
              <a16:creationId xmlns:a16="http://schemas.microsoft.com/office/drawing/2014/main" id="{00000000-0008-0000-0F00-000041000000}"/>
            </a:ext>
          </a:extLst>
        </xdr:cNvPr>
        <xdr:cNvSpPr/>
      </xdr:nvSpPr>
      <xdr:spPr>
        <a:xfrm>
          <a:off x="201082" y="3979335"/>
          <a:ext cx="1068917" cy="381000"/>
        </a:xfrm>
        <a:prstGeom prst="roundRect">
          <a:avLst/>
        </a:prstGeom>
        <a:solidFill>
          <a:srgbClr val="FF66CC"/>
        </a:solidFill>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fi-FI" sz="1200"/>
            <a:t>Pihvivasikka</a:t>
          </a:r>
          <a:endParaRPr lang="fi-FI" sz="1050"/>
        </a:p>
      </xdr:txBody>
    </xdr:sp>
    <xdr:clientData/>
  </xdr:twoCellAnchor>
  <xdr:twoCellAnchor>
    <xdr:from>
      <xdr:col>1</xdr:col>
      <xdr:colOff>21165</xdr:colOff>
      <xdr:row>106</xdr:row>
      <xdr:rowOff>10585</xdr:rowOff>
    </xdr:from>
    <xdr:to>
      <xdr:col>1</xdr:col>
      <xdr:colOff>1090082</xdr:colOff>
      <xdr:row>108</xdr:row>
      <xdr:rowOff>10585</xdr:rowOff>
    </xdr:to>
    <xdr:sp macro="" textlink="">
      <xdr:nvSpPr>
        <xdr:cNvPr id="66" name="Pyöristetty suorakulmio 65" descr="Klikkaa tästä!" title="Siirry alkuun">
          <a:hlinkClick xmlns:r="http://schemas.openxmlformats.org/officeDocument/2006/relationships" r:id="rId8"/>
          <a:extLst>
            <a:ext uri="{FF2B5EF4-FFF2-40B4-BE49-F238E27FC236}">
              <a16:creationId xmlns:a16="http://schemas.microsoft.com/office/drawing/2014/main" id="{00000000-0008-0000-0F00-000042000000}"/>
            </a:ext>
          </a:extLst>
        </xdr:cNvPr>
        <xdr:cNvSpPr/>
      </xdr:nvSpPr>
      <xdr:spPr>
        <a:xfrm>
          <a:off x="201082" y="4550835"/>
          <a:ext cx="1068917" cy="381000"/>
        </a:xfrm>
        <a:prstGeom prst="roundRect">
          <a:avLst/>
        </a:prstGeom>
        <a:solidFill>
          <a:srgbClr val="FF99CC"/>
        </a:solidFill>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fi-FI" sz="1200"/>
            <a:t>Lihasonni</a:t>
          </a:r>
          <a:endParaRPr lang="fi-FI" sz="1050"/>
        </a:p>
      </xdr:txBody>
    </xdr:sp>
    <xdr:clientData/>
  </xdr:twoCellAnchor>
  <xdr:twoCellAnchor>
    <xdr:from>
      <xdr:col>1</xdr:col>
      <xdr:colOff>21165</xdr:colOff>
      <xdr:row>109</xdr:row>
      <xdr:rowOff>10585</xdr:rowOff>
    </xdr:from>
    <xdr:to>
      <xdr:col>1</xdr:col>
      <xdr:colOff>1090082</xdr:colOff>
      <xdr:row>111</xdr:row>
      <xdr:rowOff>10585</xdr:rowOff>
    </xdr:to>
    <xdr:sp macro="" textlink="">
      <xdr:nvSpPr>
        <xdr:cNvPr id="67" name="Pyöristetty suorakulmio 66" descr="Klikkaa tästä!" title="Siirry alkuun">
          <a:hlinkClick xmlns:r="http://schemas.openxmlformats.org/officeDocument/2006/relationships" r:id="rId9"/>
          <a:extLst>
            <a:ext uri="{FF2B5EF4-FFF2-40B4-BE49-F238E27FC236}">
              <a16:creationId xmlns:a16="http://schemas.microsoft.com/office/drawing/2014/main" id="{00000000-0008-0000-0F00-000043000000}"/>
            </a:ext>
          </a:extLst>
        </xdr:cNvPr>
        <xdr:cNvSpPr/>
      </xdr:nvSpPr>
      <xdr:spPr>
        <a:xfrm>
          <a:off x="201082" y="5122335"/>
          <a:ext cx="1068917" cy="391583"/>
        </a:xfrm>
        <a:prstGeom prst="roundRect">
          <a:avLst/>
        </a:prstGeom>
        <a:solidFill>
          <a:srgbClr val="FFCCCC"/>
        </a:solidFill>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fi-FI" sz="1200"/>
            <a:t>Lihahieho</a:t>
          </a:r>
          <a:endParaRPr lang="fi-FI" sz="1050"/>
        </a:p>
      </xdr:txBody>
    </xdr:sp>
    <xdr:clientData/>
  </xdr:twoCellAnchor>
  <xdr:twoCellAnchor>
    <xdr:from>
      <xdr:col>1</xdr:col>
      <xdr:colOff>21165</xdr:colOff>
      <xdr:row>94</xdr:row>
      <xdr:rowOff>10585</xdr:rowOff>
    </xdr:from>
    <xdr:to>
      <xdr:col>1</xdr:col>
      <xdr:colOff>1090082</xdr:colOff>
      <xdr:row>95</xdr:row>
      <xdr:rowOff>148166</xdr:rowOff>
    </xdr:to>
    <xdr:sp macro="" textlink="">
      <xdr:nvSpPr>
        <xdr:cNvPr id="68" name="Pyöristetty suorakulmio 67" descr="Klikkaa tästä!" title="Siirry alkuun">
          <a:hlinkClick xmlns:r="http://schemas.openxmlformats.org/officeDocument/2006/relationships" r:id="rId1"/>
          <a:extLst>
            <a:ext uri="{FF2B5EF4-FFF2-40B4-BE49-F238E27FC236}">
              <a16:creationId xmlns:a16="http://schemas.microsoft.com/office/drawing/2014/main" id="{00000000-0008-0000-0F00-000044000000}"/>
            </a:ext>
          </a:extLst>
        </xdr:cNvPr>
        <xdr:cNvSpPr/>
      </xdr:nvSpPr>
      <xdr:spPr>
        <a:xfrm>
          <a:off x="201082" y="2201335"/>
          <a:ext cx="1068917" cy="380998"/>
        </a:xfrm>
        <a:prstGeom prst="roundRect">
          <a:avLst/>
        </a:prstGeom>
        <a:solidFill>
          <a:srgbClr val="92D050"/>
        </a:solidFill>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fi-FI" sz="1200"/>
            <a:t>Säilörehu</a:t>
          </a:r>
          <a:endParaRPr lang="fi-FI" sz="1050"/>
        </a:p>
      </xdr:txBody>
    </xdr:sp>
    <xdr:clientData/>
  </xdr:twoCellAnchor>
  <xdr:twoCellAnchor>
    <xdr:from>
      <xdr:col>1</xdr:col>
      <xdr:colOff>132290</xdr:colOff>
      <xdr:row>163</xdr:row>
      <xdr:rowOff>42333</xdr:rowOff>
    </xdr:from>
    <xdr:to>
      <xdr:col>1</xdr:col>
      <xdr:colOff>966257</xdr:colOff>
      <xdr:row>166</xdr:row>
      <xdr:rowOff>183092</xdr:rowOff>
    </xdr:to>
    <xdr:sp macro="" textlink="">
      <xdr:nvSpPr>
        <xdr:cNvPr id="69" name="Pyöristetty suorakulmio 68" descr="Klikkaa tästä!" title="Siirry alkuun">
          <a:hlinkClick xmlns:r="http://schemas.openxmlformats.org/officeDocument/2006/relationships" r:id="rId1"/>
          <a:extLst>
            <a:ext uri="{FF2B5EF4-FFF2-40B4-BE49-F238E27FC236}">
              <a16:creationId xmlns:a16="http://schemas.microsoft.com/office/drawing/2014/main" id="{00000000-0008-0000-0F00-000045000000}"/>
            </a:ext>
          </a:extLst>
        </xdr:cNvPr>
        <xdr:cNvSpPr/>
      </xdr:nvSpPr>
      <xdr:spPr>
        <a:xfrm>
          <a:off x="312207" y="6731000"/>
          <a:ext cx="833967" cy="733425"/>
        </a:xfrm>
        <a:prstGeom prst="roundRect">
          <a:avLst/>
        </a:prstGeom>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fi-FI" sz="1600"/>
            <a:t>Siirry alkuun</a:t>
          </a:r>
        </a:p>
      </xdr:txBody>
    </xdr:sp>
    <xdr:clientData/>
  </xdr:twoCellAnchor>
  <xdr:twoCellAnchor>
    <xdr:from>
      <xdr:col>1</xdr:col>
      <xdr:colOff>21165</xdr:colOff>
      <xdr:row>133</xdr:row>
      <xdr:rowOff>10585</xdr:rowOff>
    </xdr:from>
    <xdr:to>
      <xdr:col>1</xdr:col>
      <xdr:colOff>1090082</xdr:colOff>
      <xdr:row>135</xdr:row>
      <xdr:rowOff>10585</xdr:rowOff>
    </xdr:to>
    <xdr:sp macro="" textlink="">
      <xdr:nvSpPr>
        <xdr:cNvPr id="70" name="Pyöristetty suorakulmio 69" descr="Klikkaa tästä!" title="Siirry alkuun">
          <a:hlinkClick xmlns:r="http://schemas.openxmlformats.org/officeDocument/2006/relationships" r:id="rId2"/>
          <a:extLst>
            <a:ext uri="{FF2B5EF4-FFF2-40B4-BE49-F238E27FC236}">
              <a16:creationId xmlns:a16="http://schemas.microsoft.com/office/drawing/2014/main" id="{00000000-0008-0000-0F00-000046000000}"/>
            </a:ext>
          </a:extLst>
        </xdr:cNvPr>
        <xdr:cNvSpPr/>
      </xdr:nvSpPr>
      <xdr:spPr>
        <a:xfrm>
          <a:off x="201082" y="687918"/>
          <a:ext cx="1068917" cy="539750"/>
        </a:xfrm>
        <a:prstGeom prst="roundRect">
          <a:avLst/>
        </a:prstGeom>
        <a:solidFill>
          <a:srgbClr val="98F20F"/>
        </a:solidFill>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fi-FI" sz="1200"/>
            <a:t>Lähtötiedot</a:t>
          </a:r>
          <a:endParaRPr lang="fi-FI" sz="1050"/>
        </a:p>
      </xdr:txBody>
    </xdr:sp>
    <xdr:clientData/>
  </xdr:twoCellAnchor>
  <xdr:oneCellAnchor>
    <xdr:from>
      <xdr:col>1</xdr:col>
      <xdr:colOff>0</xdr:colOff>
      <xdr:row>131</xdr:row>
      <xdr:rowOff>0</xdr:rowOff>
    </xdr:from>
    <xdr:ext cx="1123950" cy="339138"/>
    <xdr:pic>
      <xdr:nvPicPr>
        <xdr:cNvPr id="71" name="Kuva 70">
          <a:hlinkClick xmlns:r="http://schemas.openxmlformats.org/officeDocument/2006/relationships" r:id="rId3"/>
          <a:extLst>
            <a:ext uri="{FF2B5EF4-FFF2-40B4-BE49-F238E27FC236}">
              <a16:creationId xmlns:a16="http://schemas.microsoft.com/office/drawing/2014/main" id="{00000000-0008-0000-0F00-000047000000}"/>
            </a:ext>
          </a:extLst>
        </xdr:cNvPr>
        <xdr:cNvPicPr>
          <a:picLocks noChangeAspect="1"/>
        </xdr:cNvPicPr>
      </xdr:nvPicPr>
      <xdr:blipFill rotWithShape="1">
        <a:blip xmlns:r="http://schemas.openxmlformats.org/officeDocument/2006/relationships" r:embed="rId4"/>
        <a:srcRect l="4914" t="19635" r="9124" b="32923"/>
        <a:stretch/>
      </xdr:blipFill>
      <xdr:spPr>
        <a:xfrm>
          <a:off x="179917" y="0"/>
          <a:ext cx="1123950" cy="339138"/>
        </a:xfrm>
        <a:prstGeom prst="rect">
          <a:avLst/>
        </a:prstGeom>
      </xdr:spPr>
    </xdr:pic>
    <xdr:clientData/>
  </xdr:oneCellAnchor>
  <xdr:twoCellAnchor>
    <xdr:from>
      <xdr:col>1</xdr:col>
      <xdr:colOff>21165</xdr:colOff>
      <xdr:row>143</xdr:row>
      <xdr:rowOff>10585</xdr:rowOff>
    </xdr:from>
    <xdr:to>
      <xdr:col>1</xdr:col>
      <xdr:colOff>1090082</xdr:colOff>
      <xdr:row>145</xdr:row>
      <xdr:rowOff>10585</xdr:rowOff>
    </xdr:to>
    <xdr:sp macro="" textlink="">
      <xdr:nvSpPr>
        <xdr:cNvPr id="72" name="Pyöristetty suorakulmio 71" descr="Klikkaa tästä!" title="Siirry alkuun">
          <a:hlinkClick xmlns:r="http://schemas.openxmlformats.org/officeDocument/2006/relationships" r:id="rId5"/>
          <a:extLst>
            <a:ext uri="{FF2B5EF4-FFF2-40B4-BE49-F238E27FC236}">
              <a16:creationId xmlns:a16="http://schemas.microsoft.com/office/drawing/2014/main" id="{00000000-0008-0000-0F00-000048000000}"/>
            </a:ext>
          </a:extLst>
        </xdr:cNvPr>
        <xdr:cNvSpPr/>
      </xdr:nvSpPr>
      <xdr:spPr>
        <a:xfrm>
          <a:off x="201082" y="2836335"/>
          <a:ext cx="1068917" cy="381000"/>
        </a:xfrm>
        <a:prstGeom prst="roundRect">
          <a:avLst/>
        </a:prstGeom>
        <a:solidFill>
          <a:srgbClr val="FFCCFF"/>
        </a:solidFill>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fi-FI" sz="1200"/>
            <a:t>Maito</a:t>
          </a:r>
          <a:endParaRPr lang="fi-FI" sz="1050"/>
        </a:p>
      </xdr:txBody>
    </xdr:sp>
    <xdr:clientData/>
  </xdr:twoCellAnchor>
  <xdr:twoCellAnchor>
    <xdr:from>
      <xdr:col>1</xdr:col>
      <xdr:colOff>21165</xdr:colOff>
      <xdr:row>146</xdr:row>
      <xdr:rowOff>10585</xdr:rowOff>
    </xdr:from>
    <xdr:to>
      <xdr:col>1</xdr:col>
      <xdr:colOff>1090082</xdr:colOff>
      <xdr:row>148</xdr:row>
      <xdr:rowOff>10585</xdr:rowOff>
    </xdr:to>
    <xdr:sp macro="" textlink="">
      <xdr:nvSpPr>
        <xdr:cNvPr id="73" name="Pyöristetty suorakulmio 72" descr="Klikkaa tästä!" title="Siirry alkuun">
          <a:hlinkClick xmlns:r="http://schemas.openxmlformats.org/officeDocument/2006/relationships" r:id="rId6"/>
          <a:extLst>
            <a:ext uri="{FF2B5EF4-FFF2-40B4-BE49-F238E27FC236}">
              <a16:creationId xmlns:a16="http://schemas.microsoft.com/office/drawing/2014/main" id="{00000000-0008-0000-0F00-000049000000}"/>
            </a:ext>
          </a:extLst>
        </xdr:cNvPr>
        <xdr:cNvSpPr/>
      </xdr:nvSpPr>
      <xdr:spPr>
        <a:xfrm>
          <a:off x="201082" y="3407835"/>
          <a:ext cx="1068917" cy="381000"/>
        </a:xfrm>
        <a:prstGeom prst="roundRect">
          <a:avLst/>
        </a:prstGeom>
        <a:solidFill>
          <a:srgbClr val="FF66FF"/>
        </a:solidFill>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fi-FI" sz="1200"/>
            <a:t>Yhdistelmä</a:t>
          </a:r>
          <a:endParaRPr lang="fi-FI" sz="1050"/>
        </a:p>
      </xdr:txBody>
    </xdr:sp>
    <xdr:clientData/>
  </xdr:twoCellAnchor>
  <xdr:twoCellAnchor>
    <xdr:from>
      <xdr:col>1</xdr:col>
      <xdr:colOff>21165</xdr:colOff>
      <xdr:row>149</xdr:row>
      <xdr:rowOff>10585</xdr:rowOff>
    </xdr:from>
    <xdr:to>
      <xdr:col>1</xdr:col>
      <xdr:colOff>1090082</xdr:colOff>
      <xdr:row>151</xdr:row>
      <xdr:rowOff>10585</xdr:rowOff>
    </xdr:to>
    <xdr:sp macro="" textlink="">
      <xdr:nvSpPr>
        <xdr:cNvPr id="74" name="Pyöristetty suorakulmio 73" descr="Klikkaa tästä!" title="Siirry alkuun">
          <a:hlinkClick xmlns:r="http://schemas.openxmlformats.org/officeDocument/2006/relationships" r:id="rId7"/>
          <a:extLst>
            <a:ext uri="{FF2B5EF4-FFF2-40B4-BE49-F238E27FC236}">
              <a16:creationId xmlns:a16="http://schemas.microsoft.com/office/drawing/2014/main" id="{00000000-0008-0000-0F00-00004A000000}"/>
            </a:ext>
          </a:extLst>
        </xdr:cNvPr>
        <xdr:cNvSpPr/>
      </xdr:nvSpPr>
      <xdr:spPr>
        <a:xfrm>
          <a:off x="201082" y="3979335"/>
          <a:ext cx="1068917" cy="381000"/>
        </a:xfrm>
        <a:prstGeom prst="roundRect">
          <a:avLst/>
        </a:prstGeom>
        <a:solidFill>
          <a:srgbClr val="FF66CC"/>
        </a:solidFill>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fi-FI" sz="1200"/>
            <a:t>Pihvivasikka</a:t>
          </a:r>
          <a:endParaRPr lang="fi-FI" sz="1050"/>
        </a:p>
      </xdr:txBody>
    </xdr:sp>
    <xdr:clientData/>
  </xdr:twoCellAnchor>
  <xdr:twoCellAnchor>
    <xdr:from>
      <xdr:col>1</xdr:col>
      <xdr:colOff>21165</xdr:colOff>
      <xdr:row>152</xdr:row>
      <xdr:rowOff>10585</xdr:rowOff>
    </xdr:from>
    <xdr:to>
      <xdr:col>1</xdr:col>
      <xdr:colOff>1090082</xdr:colOff>
      <xdr:row>154</xdr:row>
      <xdr:rowOff>10585</xdr:rowOff>
    </xdr:to>
    <xdr:sp macro="" textlink="">
      <xdr:nvSpPr>
        <xdr:cNvPr id="75" name="Pyöristetty suorakulmio 74" descr="Klikkaa tästä!" title="Siirry alkuun">
          <a:hlinkClick xmlns:r="http://schemas.openxmlformats.org/officeDocument/2006/relationships" r:id="rId8"/>
          <a:extLst>
            <a:ext uri="{FF2B5EF4-FFF2-40B4-BE49-F238E27FC236}">
              <a16:creationId xmlns:a16="http://schemas.microsoft.com/office/drawing/2014/main" id="{00000000-0008-0000-0F00-00004B000000}"/>
            </a:ext>
          </a:extLst>
        </xdr:cNvPr>
        <xdr:cNvSpPr/>
      </xdr:nvSpPr>
      <xdr:spPr>
        <a:xfrm>
          <a:off x="201082" y="4550835"/>
          <a:ext cx="1068917" cy="381000"/>
        </a:xfrm>
        <a:prstGeom prst="roundRect">
          <a:avLst/>
        </a:prstGeom>
        <a:solidFill>
          <a:srgbClr val="FF99CC"/>
        </a:solidFill>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fi-FI" sz="1200"/>
            <a:t>Lihasonni</a:t>
          </a:r>
          <a:endParaRPr lang="fi-FI" sz="1050"/>
        </a:p>
      </xdr:txBody>
    </xdr:sp>
    <xdr:clientData/>
  </xdr:twoCellAnchor>
  <xdr:twoCellAnchor>
    <xdr:from>
      <xdr:col>1</xdr:col>
      <xdr:colOff>21165</xdr:colOff>
      <xdr:row>155</xdr:row>
      <xdr:rowOff>10585</xdr:rowOff>
    </xdr:from>
    <xdr:to>
      <xdr:col>1</xdr:col>
      <xdr:colOff>1090082</xdr:colOff>
      <xdr:row>157</xdr:row>
      <xdr:rowOff>10585</xdr:rowOff>
    </xdr:to>
    <xdr:sp macro="" textlink="">
      <xdr:nvSpPr>
        <xdr:cNvPr id="76" name="Pyöristetty suorakulmio 75" descr="Klikkaa tästä!" title="Siirry alkuun">
          <a:hlinkClick xmlns:r="http://schemas.openxmlformats.org/officeDocument/2006/relationships" r:id="rId9"/>
          <a:extLst>
            <a:ext uri="{FF2B5EF4-FFF2-40B4-BE49-F238E27FC236}">
              <a16:creationId xmlns:a16="http://schemas.microsoft.com/office/drawing/2014/main" id="{00000000-0008-0000-0F00-00004C000000}"/>
            </a:ext>
          </a:extLst>
        </xdr:cNvPr>
        <xdr:cNvSpPr/>
      </xdr:nvSpPr>
      <xdr:spPr>
        <a:xfrm>
          <a:off x="201082" y="5122335"/>
          <a:ext cx="1068917" cy="391583"/>
        </a:xfrm>
        <a:prstGeom prst="roundRect">
          <a:avLst/>
        </a:prstGeom>
        <a:solidFill>
          <a:srgbClr val="FFCCCC"/>
        </a:solidFill>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fi-FI" sz="1200"/>
            <a:t>Lihahieho</a:t>
          </a:r>
          <a:endParaRPr lang="fi-FI" sz="1050"/>
        </a:p>
      </xdr:txBody>
    </xdr:sp>
    <xdr:clientData/>
  </xdr:twoCellAnchor>
  <xdr:twoCellAnchor>
    <xdr:from>
      <xdr:col>1</xdr:col>
      <xdr:colOff>21165</xdr:colOff>
      <xdr:row>140</xdr:row>
      <xdr:rowOff>10585</xdr:rowOff>
    </xdr:from>
    <xdr:to>
      <xdr:col>1</xdr:col>
      <xdr:colOff>1090082</xdr:colOff>
      <xdr:row>141</xdr:row>
      <xdr:rowOff>148166</xdr:rowOff>
    </xdr:to>
    <xdr:sp macro="" textlink="">
      <xdr:nvSpPr>
        <xdr:cNvPr id="77" name="Pyöristetty suorakulmio 76" descr="Klikkaa tästä!" title="Siirry alkuun">
          <a:hlinkClick xmlns:r="http://schemas.openxmlformats.org/officeDocument/2006/relationships" r:id="rId1"/>
          <a:extLst>
            <a:ext uri="{FF2B5EF4-FFF2-40B4-BE49-F238E27FC236}">
              <a16:creationId xmlns:a16="http://schemas.microsoft.com/office/drawing/2014/main" id="{00000000-0008-0000-0F00-00004D000000}"/>
            </a:ext>
          </a:extLst>
        </xdr:cNvPr>
        <xdr:cNvSpPr/>
      </xdr:nvSpPr>
      <xdr:spPr>
        <a:xfrm>
          <a:off x="201082" y="2201335"/>
          <a:ext cx="1068917" cy="380998"/>
        </a:xfrm>
        <a:prstGeom prst="roundRect">
          <a:avLst/>
        </a:prstGeom>
        <a:solidFill>
          <a:srgbClr val="92D050"/>
        </a:solidFill>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fi-FI" sz="1200"/>
            <a:t>Säilörehu</a:t>
          </a:r>
          <a:endParaRPr lang="fi-FI" sz="1050"/>
        </a:p>
      </xdr:txBody>
    </xdr:sp>
    <xdr:clientData/>
  </xdr:twoCellAnchor>
  <xdr:twoCellAnchor>
    <xdr:from>
      <xdr:col>1</xdr:col>
      <xdr:colOff>132290</xdr:colOff>
      <xdr:row>209</xdr:row>
      <xdr:rowOff>42333</xdr:rowOff>
    </xdr:from>
    <xdr:to>
      <xdr:col>1</xdr:col>
      <xdr:colOff>966257</xdr:colOff>
      <xdr:row>212</xdr:row>
      <xdr:rowOff>183092</xdr:rowOff>
    </xdr:to>
    <xdr:sp macro="" textlink="">
      <xdr:nvSpPr>
        <xdr:cNvPr id="78" name="Pyöristetty suorakulmio 77" descr="Klikkaa tästä!" title="Siirry alkuun">
          <a:hlinkClick xmlns:r="http://schemas.openxmlformats.org/officeDocument/2006/relationships" r:id="rId1"/>
          <a:extLst>
            <a:ext uri="{FF2B5EF4-FFF2-40B4-BE49-F238E27FC236}">
              <a16:creationId xmlns:a16="http://schemas.microsoft.com/office/drawing/2014/main" id="{00000000-0008-0000-0F00-00004E000000}"/>
            </a:ext>
          </a:extLst>
        </xdr:cNvPr>
        <xdr:cNvSpPr/>
      </xdr:nvSpPr>
      <xdr:spPr>
        <a:xfrm>
          <a:off x="312207" y="6731000"/>
          <a:ext cx="833967" cy="733425"/>
        </a:xfrm>
        <a:prstGeom prst="roundRect">
          <a:avLst/>
        </a:prstGeom>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fi-FI" sz="1600"/>
            <a:t>Siirry alkuun</a:t>
          </a:r>
        </a:p>
      </xdr:txBody>
    </xdr:sp>
    <xdr:clientData/>
  </xdr:twoCellAnchor>
  <xdr:twoCellAnchor>
    <xdr:from>
      <xdr:col>1</xdr:col>
      <xdr:colOff>21165</xdr:colOff>
      <xdr:row>179</xdr:row>
      <xdr:rowOff>10585</xdr:rowOff>
    </xdr:from>
    <xdr:to>
      <xdr:col>1</xdr:col>
      <xdr:colOff>1090082</xdr:colOff>
      <xdr:row>181</xdr:row>
      <xdr:rowOff>10585</xdr:rowOff>
    </xdr:to>
    <xdr:sp macro="" textlink="">
      <xdr:nvSpPr>
        <xdr:cNvPr id="79" name="Pyöristetty suorakulmio 78" descr="Klikkaa tästä!" title="Siirry alkuun">
          <a:hlinkClick xmlns:r="http://schemas.openxmlformats.org/officeDocument/2006/relationships" r:id="rId2"/>
          <a:extLst>
            <a:ext uri="{FF2B5EF4-FFF2-40B4-BE49-F238E27FC236}">
              <a16:creationId xmlns:a16="http://schemas.microsoft.com/office/drawing/2014/main" id="{00000000-0008-0000-0F00-00004F000000}"/>
            </a:ext>
          </a:extLst>
        </xdr:cNvPr>
        <xdr:cNvSpPr/>
      </xdr:nvSpPr>
      <xdr:spPr>
        <a:xfrm>
          <a:off x="201082" y="687918"/>
          <a:ext cx="1068917" cy="539750"/>
        </a:xfrm>
        <a:prstGeom prst="roundRect">
          <a:avLst/>
        </a:prstGeom>
        <a:solidFill>
          <a:srgbClr val="98F20F"/>
        </a:solidFill>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fi-FI" sz="1200"/>
            <a:t>Lähtötiedot</a:t>
          </a:r>
          <a:endParaRPr lang="fi-FI" sz="1050"/>
        </a:p>
      </xdr:txBody>
    </xdr:sp>
    <xdr:clientData/>
  </xdr:twoCellAnchor>
  <xdr:oneCellAnchor>
    <xdr:from>
      <xdr:col>1</xdr:col>
      <xdr:colOff>0</xdr:colOff>
      <xdr:row>177</xdr:row>
      <xdr:rowOff>0</xdr:rowOff>
    </xdr:from>
    <xdr:ext cx="1123950" cy="339138"/>
    <xdr:pic>
      <xdr:nvPicPr>
        <xdr:cNvPr id="80" name="Kuva 79">
          <a:hlinkClick xmlns:r="http://schemas.openxmlformats.org/officeDocument/2006/relationships" r:id="rId3"/>
          <a:extLst>
            <a:ext uri="{FF2B5EF4-FFF2-40B4-BE49-F238E27FC236}">
              <a16:creationId xmlns:a16="http://schemas.microsoft.com/office/drawing/2014/main" id="{00000000-0008-0000-0F00-000050000000}"/>
            </a:ext>
          </a:extLst>
        </xdr:cNvPr>
        <xdr:cNvPicPr>
          <a:picLocks noChangeAspect="1"/>
        </xdr:cNvPicPr>
      </xdr:nvPicPr>
      <xdr:blipFill rotWithShape="1">
        <a:blip xmlns:r="http://schemas.openxmlformats.org/officeDocument/2006/relationships" r:embed="rId4"/>
        <a:srcRect l="4914" t="19635" r="9124" b="32923"/>
        <a:stretch/>
      </xdr:blipFill>
      <xdr:spPr>
        <a:xfrm>
          <a:off x="179917" y="0"/>
          <a:ext cx="1123950" cy="339138"/>
        </a:xfrm>
        <a:prstGeom prst="rect">
          <a:avLst/>
        </a:prstGeom>
      </xdr:spPr>
    </xdr:pic>
    <xdr:clientData/>
  </xdr:oneCellAnchor>
  <xdr:twoCellAnchor>
    <xdr:from>
      <xdr:col>1</xdr:col>
      <xdr:colOff>21165</xdr:colOff>
      <xdr:row>189</xdr:row>
      <xdr:rowOff>10585</xdr:rowOff>
    </xdr:from>
    <xdr:to>
      <xdr:col>1</xdr:col>
      <xdr:colOff>1090082</xdr:colOff>
      <xdr:row>191</xdr:row>
      <xdr:rowOff>10585</xdr:rowOff>
    </xdr:to>
    <xdr:sp macro="" textlink="">
      <xdr:nvSpPr>
        <xdr:cNvPr id="81" name="Pyöristetty suorakulmio 80" descr="Klikkaa tästä!" title="Siirry alkuun">
          <a:hlinkClick xmlns:r="http://schemas.openxmlformats.org/officeDocument/2006/relationships" r:id="rId5"/>
          <a:extLst>
            <a:ext uri="{FF2B5EF4-FFF2-40B4-BE49-F238E27FC236}">
              <a16:creationId xmlns:a16="http://schemas.microsoft.com/office/drawing/2014/main" id="{00000000-0008-0000-0F00-000051000000}"/>
            </a:ext>
          </a:extLst>
        </xdr:cNvPr>
        <xdr:cNvSpPr/>
      </xdr:nvSpPr>
      <xdr:spPr>
        <a:xfrm>
          <a:off x="201082" y="2836335"/>
          <a:ext cx="1068917" cy="381000"/>
        </a:xfrm>
        <a:prstGeom prst="roundRect">
          <a:avLst/>
        </a:prstGeom>
        <a:solidFill>
          <a:srgbClr val="FFCCFF"/>
        </a:solidFill>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fi-FI" sz="1200"/>
            <a:t>Maito</a:t>
          </a:r>
          <a:endParaRPr lang="fi-FI" sz="1050"/>
        </a:p>
      </xdr:txBody>
    </xdr:sp>
    <xdr:clientData/>
  </xdr:twoCellAnchor>
  <xdr:twoCellAnchor>
    <xdr:from>
      <xdr:col>1</xdr:col>
      <xdr:colOff>21165</xdr:colOff>
      <xdr:row>192</xdr:row>
      <xdr:rowOff>10585</xdr:rowOff>
    </xdr:from>
    <xdr:to>
      <xdr:col>1</xdr:col>
      <xdr:colOff>1090082</xdr:colOff>
      <xdr:row>194</xdr:row>
      <xdr:rowOff>10585</xdr:rowOff>
    </xdr:to>
    <xdr:sp macro="" textlink="">
      <xdr:nvSpPr>
        <xdr:cNvPr id="82" name="Pyöristetty suorakulmio 81" descr="Klikkaa tästä!" title="Siirry alkuun">
          <a:hlinkClick xmlns:r="http://schemas.openxmlformats.org/officeDocument/2006/relationships" r:id="rId6"/>
          <a:extLst>
            <a:ext uri="{FF2B5EF4-FFF2-40B4-BE49-F238E27FC236}">
              <a16:creationId xmlns:a16="http://schemas.microsoft.com/office/drawing/2014/main" id="{00000000-0008-0000-0F00-000052000000}"/>
            </a:ext>
          </a:extLst>
        </xdr:cNvPr>
        <xdr:cNvSpPr/>
      </xdr:nvSpPr>
      <xdr:spPr>
        <a:xfrm>
          <a:off x="201082" y="3407835"/>
          <a:ext cx="1068917" cy="381000"/>
        </a:xfrm>
        <a:prstGeom prst="roundRect">
          <a:avLst/>
        </a:prstGeom>
        <a:solidFill>
          <a:srgbClr val="FF66FF"/>
        </a:solidFill>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fi-FI" sz="1200"/>
            <a:t>Yhdistelmä</a:t>
          </a:r>
          <a:endParaRPr lang="fi-FI" sz="1050"/>
        </a:p>
      </xdr:txBody>
    </xdr:sp>
    <xdr:clientData/>
  </xdr:twoCellAnchor>
  <xdr:twoCellAnchor>
    <xdr:from>
      <xdr:col>1</xdr:col>
      <xdr:colOff>21165</xdr:colOff>
      <xdr:row>195</xdr:row>
      <xdr:rowOff>10585</xdr:rowOff>
    </xdr:from>
    <xdr:to>
      <xdr:col>1</xdr:col>
      <xdr:colOff>1090082</xdr:colOff>
      <xdr:row>197</xdr:row>
      <xdr:rowOff>10585</xdr:rowOff>
    </xdr:to>
    <xdr:sp macro="" textlink="">
      <xdr:nvSpPr>
        <xdr:cNvPr id="83" name="Pyöristetty suorakulmio 82" descr="Klikkaa tästä!" title="Siirry alkuun">
          <a:hlinkClick xmlns:r="http://schemas.openxmlformats.org/officeDocument/2006/relationships" r:id="rId7"/>
          <a:extLst>
            <a:ext uri="{FF2B5EF4-FFF2-40B4-BE49-F238E27FC236}">
              <a16:creationId xmlns:a16="http://schemas.microsoft.com/office/drawing/2014/main" id="{00000000-0008-0000-0F00-000053000000}"/>
            </a:ext>
          </a:extLst>
        </xdr:cNvPr>
        <xdr:cNvSpPr/>
      </xdr:nvSpPr>
      <xdr:spPr>
        <a:xfrm>
          <a:off x="201082" y="3979335"/>
          <a:ext cx="1068917" cy="381000"/>
        </a:xfrm>
        <a:prstGeom prst="roundRect">
          <a:avLst/>
        </a:prstGeom>
        <a:solidFill>
          <a:srgbClr val="FF66CC"/>
        </a:solidFill>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fi-FI" sz="1200"/>
            <a:t>Pihvivasikka</a:t>
          </a:r>
          <a:endParaRPr lang="fi-FI" sz="1050"/>
        </a:p>
      </xdr:txBody>
    </xdr:sp>
    <xdr:clientData/>
  </xdr:twoCellAnchor>
  <xdr:twoCellAnchor>
    <xdr:from>
      <xdr:col>1</xdr:col>
      <xdr:colOff>21165</xdr:colOff>
      <xdr:row>198</xdr:row>
      <xdr:rowOff>10585</xdr:rowOff>
    </xdr:from>
    <xdr:to>
      <xdr:col>1</xdr:col>
      <xdr:colOff>1090082</xdr:colOff>
      <xdr:row>200</xdr:row>
      <xdr:rowOff>10585</xdr:rowOff>
    </xdr:to>
    <xdr:sp macro="" textlink="">
      <xdr:nvSpPr>
        <xdr:cNvPr id="84" name="Pyöristetty suorakulmio 83" descr="Klikkaa tästä!" title="Siirry alkuun">
          <a:hlinkClick xmlns:r="http://schemas.openxmlformats.org/officeDocument/2006/relationships" r:id="rId8"/>
          <a:extLst>
            <a:ext uri="{FF2B5EF4-FFF2-40B4-BE49-F238E27FC236}">
              <a16:creationId xmlns:a16="http://schemas.microsoft.com/office/drawing/2014/main" id="{00000000-0008-0000-0F00-000054000000}"/>
            </a:ext>
          </a:extLst>
        </xdr:cNvPr>
        <xdr:cNvSpPr/>
      </xdr:nvSpPr>
      <xdr:spPr>
        <a:xfrm>
          <a:off x="201082" y="4550835"/>
          <a:ext cx="1068917" cy="381000"/>
        </a:xfrm>
        <a:prstGeom prst="roundRect">
          <a:avLst/>
        </a:prstGeom>
        <a:solidFill>
          <a:srgbClr val="FF99CC"/>
        </a:solidFill>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fi-FI" sz="1200"/>
            <a:t>Lihasonni</a:t>
          </a:r>
          <a:endParaRPr lang="fi-FI" sz="1050"/>
        </a:p>
      </xdr:txBody>
    </xdr:sp>
    <xdr:clientData/>
  </xdr:twoCellAnchor>
  <xdr:twoCellAnchor>
    <xdr:from>
      <xdr:col>1</xdr:col>
      <xdr:colOff>21165</xdr:colOff>
      <xdr:row>201</xdr:row>
      <xdr:rowOff>10585</xdr:rowOff>
    </xdr:from>
    <xdr:to>
      <xdr:col>1</xdr:col>
      <xdr:colOff>1090082</xdr:colOff>
      <xdr:row>203</xdr:row>
      <xdr:rowOff>10585</xdr:rowOff>
    </xdr:to>
    <xdr:sp macro="" textlink="">
      <xdr:nvSpPr>
        <xdr:cNvPr id="85" name="Pyöristetty suorakulmio 84" descr="Klikkaa tästä!" title="Siirry alkuun">
          <a:hlinkClick xmlns:r="http://schemas.openxmlformats.org/officeDocument/2006/relationships" r:id="rId9"/>
          <a:extLst>
            <a:ext uri="{FF2B5EF4-FFF2-40B4-BE49-F238E27FC236}">
              <a16:creationId xmlns:a16="http://schemas.microsoft.com/office/drawing/2014/main" id="{00000000-0008-0000-0F00-000055000000}"/>
            </a:ext>
          </a:extLst>
        </xdr:cNvPr>
        <xdr:cNvSpPr/>
      </xdr:nvSpPr>
      <xdr:spPr>
        <a:xfrm>
          <a:off x="201082" y="5122335"/>
          <a:ext cx="1068917" cy="391583"/>
        </a:xfrm>
        <a:prstGeom prst="roundRect">
          <a:avLst/>
        </a:prstGeom>
        <a:solidFill>
          <a:srgbClr val="FFCCCC"/>
        </a:solidFill>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fi-FI" sz="1200"/>
            <a:t>Lihahieho</a:t>
          </a:r>
          <a:endParaRPr lang="fi-FI" sz="1050"/>
        </a:p>
      </xdr:txBody>
    </xdr:sp>
    <xdr:clientData/>
  </xdr:twoCellAnchor>
  <xdr:twoCellAnchor>
    <xdr:from>
      <xdr:col>1</xdr:col>
      <xdr:colOff>21165</xdr:colOff>
      <xdr:row>186</xdr:row>
      <xdr:rowOff>10585</xdr:rowOff>
    </xdr:from>
    <xdr:to>
      <xdr:col>1</xdr:col>
      <xdr:colOff>1090082</xdr:colOff>
      <xdr:row>187</xdr:row>
      <xdr:rowOff>148166</xdr:rowOff>
    </xdr:to>
    <xdr:sp macro="" textlink="">
      <xdr:nvSpPr>
        <xdr:cNvPr id="86" name="Pyöristetty suorakulmio 85" descr="Klikkaa tästä!" title="Siirry alkuun">
          <a:hlinkClick xmlns:r="http://schemas.openxmlformats.org/officeDocument/2006/relationships" r:id="rId1"/>
          <a:extLst>
            <a:ext uri="{FF2B5EF4-FFF2-40B4-BE49-F238E27FC236}">
              <a16:creationId xmlns:a16="http://schemas.microsoft.com/office/drawing/2014/main" id="{00000000-0008-0000-0F00-000056000000}"/>
            </a:ext>
          </a:extLst>
        </xdr:cNvPr>
        <xdr:cNvSpPr/>
      </xdr:nvSpPr>
      <xdr:spPr>
        <a:xfrm>
          <a:off x="201082" y="2201335"/>
          <a:ext cx="1068917" cy="380998"/>
        </a:xfrm>
        <a:prstGeom prst="roundRect">
          <a:avLst/>
        </a:prstGeom>
        <a:solidFill>
          <a:srgbClr val="92D050"/>
        </a:solidFill>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fi-FI" sz="1200"/>
            <a:t>Säilörehu</a:t>
          </a:r>
          <a:endParaRPr lang="fi-FI" sz="1050"/>
        </a:p>
      </xdr:txBody>
    </xdr:sp>
    <xdr:clientData/>
  </xdr:twoCellAnchor>
  <xdr:twoCellAnchor>
    <xdr:from>
      <xdr:col>1</xdr:col>
      <xdr:colOff>132290</xdr:colOff>
      <xdr:row>255</xdr:row>
      <xdr:rowOff>42333</xdr:rowOff>
    </xdr:from>
    <xdr:to>
      <xdr:col>1</xdr:col>
      <xdr:colOff>966257</xdr:colOff>
      <xdr:row>258</xdr:row>
      <xdr:rowOff>183092</xdr:rowOff>
    </xdr:to>
    <xdr:sp macro="" textlink="">
      <xdr:nvSpPr>
        <xdr:cNvPr id="87" name="Pyöristetty suorakulmio 86" descr="Klikkaa tästä!" title="Siirry alkuun">
          <a:hlinkClick xmlns:r="http://schemas.openxmlformats.org/officeDocument/2006/relationships" r:id="rId1"/>
          <a:extLst>
            <a:ext uri="{FF2B5EF4-FFF2-40B4-BE49-F238E27FC236}">
              <a16:creationId xmlns:a16="http://schemas.microsoft.com/office/drawing/2014/main" id="{00000000-0008-0000-0F00-000057000000}"/>
            </a:ext>
          </a:extLst>
        </xdr:cNvPr>
        <xdr:cNvSpPr/>
      </xdr:nvSpPr>
      <xdr:spPr>
        <a:xfrm>
          <a:off x="312207" y="6731000"/>
          <a:ext cx="833967" cy="733425"/>
        </a:xfrm>
        <a:prstGeom prst="roundRect">
          <a:avLst/>
        </a:prstGeom>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fi-FI" sz="1600"/>
            <a:t>Siirry alkuun</a:t>
          </a:r>
        </a:p>
      </xdr:txBody>
    </xdr:sp>
    <xdr:clientData/>
  </xdr:twoCellAnchor>
  <xdr:twoCellAnchor>
    <xdr:from>
      <xdr:col>1</xdr:col>
      <xdr:colOff>21165</xdr:colOff>
      <xdr:row>225</xdr:row>
      <xdr:rowOff>10585</xdr:rowOff>
    </xdr:from>
    <xdr:to>
      <xdr:col>1</xdr:col>
      <xdr:colOff>1090082</xdr:colOff>
      <xdr:row>227</xdr:row>
      <xdr:rowOff>10585</xdr:rowOff>
    </xdr:to>
    <xdr:sp macro="" textlink="">
      <xdr:nvSpPr>
        <xdr:cNvPr id="88" name="Pyöristetty suorakulmio 87" descr="Klikkaa tästä!" title="Siirry alkuun">
          <a:hlinkClick xmlns:r="http://schemas.openxmlformats.org/officeDocument/2006/relationships" r:id="rId2"/>
          <a:extLst>
            <a:ext uri="{FF2B5EF4-FFF2-40B4-BE49-F238E27FC236}">
              <a16:creationId xmlns:a16="http://schemas.microsoft.com/office/drawing/2014/main" id="{00000000-0008-0000-0F00-000058000000}"/>
            </a:ext>
          </a:extLst>
        </xdr:cNvPr>
        <xdr:cNvSpPr/>
      </xdr:nvSpPr>
      <xdr:spPr>
        <a:xfrm>
          <a:off x="201082" y="687918"/>
          <a:ext cx="1068917" cy="539750"/>
        </a:xfrm>
        <a:prstGeom prst="roundRect">
          <a:avLst/>
        </a:prstGeom>
        <a:solidFill>
          <a:srgbClr val="98F20F"/>
        </a:solidFill>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fi-FI" sz="1200"/>
            <a:t>Lähtötiedot</a:t>
          </a:r>
          <a:endParaRPr lang="fi-FI" sz="1050"/>
        </a:p>
      </xdr:txBody>
    </xdr:sp>
    <xdr:clientData/>
  </xdr:twoCellAnchor>
  <xdr:oneCellAnchor>
    <xdr:from>
      <xdr:col>1</xdr:col>
      <xdr:colOff>0</xdr:colOff>
      <xdr:row>223</xdr:row>
      <xdr:rowOff>0</xdr:rowOff>
    </xdr:from>
    <xdr:ext cx="1123950" cy="339138"/>
    <xdr:pic>
      <xdr:nvPicPr>
        <xdr:cNvPr id="89" name="Kuva 88">
          <a:hlinkClick xmlns:r="http://schemas.openxmlformats.org/officeDocument/2006/relationships" r:id="rId3"/>
          <a:extLst>
            <a:ext uri="{FF2B5EF4-FFF2-40B4-BE49-F238E27FC236}">
              <a16:creationId xmlns:a16="http://schemas.microsoft.com/office/drawing/2014/main" id="{00000000-0008-0000-0F00-000059000000}"/>
            </a:ext>
          </a:extLst>
        </xdr:cNvPr>
        <xdr:cNvPicPr>
          <a:picLocks noChangeAspect="1"/>
        </xdr:cNvPicPr>
      </xdr:nvPicPr>
      <xdr:blipFill rotWithShape="1">
        <a:blip xmlns:r="http://schemas.openxmlformats.org/officeDocument/2006/relationships" r:embed="rId4"/>
        <a:srcRect l="4914" t="19635" r="9124" b="32923"/>
        <a:stretch/>
      </xdr:blipFill>
      <xdr:spPr>
        <a:xfrm>
          <a:off x="179917" y="0"/>
          <a:ext cx="1123950" cy="339138"/>
        </a:xfrm>
        <a:prstGeom prst="rect">
          <a:avLst/>
        </a:prstGeom>
      </xdr:spPr>
    </xdr:pic>
    <xdr:clientData/>
  </xdr:oneCellAnchor>
  <xdr:twoCellAnchor>
    <xdr:from>
      <xdr:col>1</xdr:col>
      <xdr:colOff>21165</xdr:colOff>
      <xdr:row>235</xdr:row>
      <xdr:rowOff>10585</xdr:rowOff>
    </xdr:from>
    <xdr:to>
      <xdr:col>1</xdr:col>
      <xdr:colOff>1090082</xdr:colOff>
      <xdr:row>237</xdr:row>
      <xdr:rowOff>10585</xdr:rowOff>
    </xdr:to>
    <xdr:sp macro="" textlink="">
      <xdr:nvSpPr>
        <xdr:cNvPr id="90" name="Pyöristetty suorakulmio 89" descr="Klikkaa tästä!" title="Siirry alkuun">
          <a:hlinkClick xmlns:r="http://schemas.openxmlformats.org/officeDocument/2006/relationships" r:id="rId5"/>
          <a:extLst>
            <a:ext uri="{FF2B5EF4-FFF2-40B4-BE49-F238E27FC236}">
              <a16:creationId xmlns:a16="http://schemas.microsoft.com/office/drawing/2014/main" id="{00000000-0008-0000-0F00-00005A000000}"/>
            </a:ext>
          </a:extLst>
        </xdr:cNvPr>
        <xdr:cNvSpPr/>
      </xdr:nvSpPr>
      <xdr:spPr>
        <a:xfrm>
          <a:off x="201082" y="2836335"/>
          <a:ext cx="1068917" cy="381000"/>
        </a:xfrm>
        <a:prstGeom prst="roundRect">
          <a:avLst/>
        </a:prstGeom>
        <a:solidFill>
          <a:srgbClr val="FFCCFF"/>
        </a:solidFill>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fi-FI" sz="1200"/>
            <a:t>Maito</a:t>
          </a:r>
          <a:endParaRPr lang="fi-FI" sz="1050"/>
        </a:p>
      </xdr:txBody>
    </xdr:sp>
    <xdr:clientData/>
  </xdr:twoCellAnchor>
  <xdr:twoCellAnchor>
    <xdr:from>
      <xdr:col>1</xdr:col>
      <xdr:colOff>21165</xdr:colOff>
      <xdr:row>238</xdr:row>
      <xdr:rowOff>10585</xdr:rowOff>
    </xdr:from>
    <xdr:to>
      <xdr:col>1</xdr:col>
      <xdr:colOff>1090082</xdr:colOff>
      <xdr:row>240</xdr:row>
      <xdr:rowOff>10585</xdr:rowOff>
    </xdr:to>
    <xdr:sp macro="" textlink="">
      <xdr:nvSpPr>
        <xdr:cNvPr id="91" name="Pyöristetty suorakulmio 90" descr="Klikkaa tästä!" title="Siirry alkuun">
          <a:hlinkClick xmlns:r="http://schemas.openxmlformats.org/officeDocument/2006/relationships" r:id="rId6"/>
          <a:extLst>
            <a:ext uri="{FF2B5EF4-FFF2-40B4-BE49-F238E27FC236}">
              <a16:creationId xmlns:a16="http://schemas.microsoft.com/office/drawing/2014/main" id="{00000000-0008-0000-0F00-00005B000000}"/>
            </a:ext>
          </a:extLst>
        </xdr:cNvPr>
        <xdr:cNvSpPr/>
      </xdr:nvSpPr>
      <xdr:spPr>
        <a:xfrm>
          <a:off x="201082" y="3407835"/>
          <a:ext cx="1068917" cy="381000"/>
        </a:xfrm>
        <a:prstGeom prst="roundRect">
          <a:avLst/>
        </a:prstGeom>
        <a:solidFill>
          <a:srgbClr val="FF66FF"/>
        </a:solidFill>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fi-FI" sz="1200"/>
            <a:t>Yhdistelmä</a:t>
          </a:r>
          <a:endParaRPr lang="fi-FI" sz="1050"/>
        </a:p>
      </xdr:txBody>
    </xdr:sp>
    <xdr:clientData/>
  </xdr:twoCellAnchor>
  <xdr:twoCellAnchor>
    <xdr:from>
      <xdr:col>1</xdr:col>
      <xdr:colOff>21165</xdr:colOff>
      <xdr:row>241</xdr:row>
      <xdr:rowOff>10585</xdr:rowOff>
    </xdr:from>
    <xdr:to>
      <xdr:col>1</xdr:col>
      <xdr:colOff>1090082</xdr:colOff>
      <xdr:row>243</xdr:row>
      <xdr:rowOff>10585</xdr:rowOff>
    </xdr:to>
    <xdr:sp macro="" textlink="">
      <xdr:nvSpPr>
        <xdr:cNvPr id="92" name="Pyöristetty suorakulmio 91" descr="Klikkaa tästä!" title="Siirry alkuun">
          <a:hlinkClick xmlns:r="http://schemas.openxmlformats.org/officeDocument/2006/relationships" r:id="rId7"/>
          <a:extLst>
            <a:ext uri="{FF2B5EF4-FFF2-40B4-BE49-F238E27FC236}">
              <a16:creationId xmlns:a16="http://schemas.microsoft.com/office/drawing/2014/main" id="{00000000-0008-0000-0F00-00005C000000}"/>
            </a:ext>
          </a:extLst>
        </xdr:cNvPr>
        <xdr:cNvSpPr/>
      </xdr:nvSpPr>
      <xdr:spPr>
        <a:xfrm>
          <a:off x="201082" y="3979335"/>
          <a:ext cx="1068917" cy="381000"/>
        </a:xfrm>
        <a:prstGeom prst="roundRect">
          <a:avLst/>
        </a:prstGeom>
        <a:solidFill>
          <a:srgbClr val="FF66CC"/>
        </a:solidFill>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fi-FI" sz="1200"/>
            <a:t>Pihvivasikka</a:t>
          </a:r>
          <a:endParaRPr lang="fi-FI" sz="1050"/>
        </a:p>
      </xdr:txBody>
    </xdr:sp>
    <xdr:clientData/>
  </xdr:twoCellAnchor>
  <xdr:twoCellAnchor>
    <xdr:from>
      <xdr:col>1</xdr:col>
      <xdr:colOff>21165</xdr:colOff>
      <xdr:row>244</xdr:row>
      <xdr:rowOff>10585</xdr:rowOff>
    </xdr:from>
    <xdr:to>
      <xdr:col>1</xdr:col>
      <xdr:colOff>1090082</xdr:colOff>
      <xdr:row>246</xdr:row>
      <xdr:rowOff>10585</xdr:rowOff>
    </xdr:to>
    <xdr:sp macro="" textlink="">
      <xdr:nvSpPr>
        <xdr:cNvPr id="93" name="Pyöristetty suorakulmio 92" descr="Klikkaa tästä!" title="Siirry alkuun">
          <a:hlinkClick xmlns:r="http://schemas.openxmlformats.org/officeDocument/2006/relationships" r:id="rId8"/>
          <a:extLst>
            <a:ext uri="{FF2B5EF4-FFF2-40B4-BE49-F238E27FC236}">
              <a16:creationId xmlns:a16="http://schemas.microsoft.com/office/drawing/2014/main" id="{00000000-0008-0000-0F00-00005D000000}"/>
            </a:ext>
          </a:extLst>
        </xdr:cNvPr>
        <xdr:cNvSpPr/>
      </xdr:nvSpPr>
      <xdr:spPr>
        <a:xfrm>
          <a:off x="201082" y="4550835"/>
          <a:ext cx="1068917" cy="381000"/>
        </a:xfrm>
        <a:prstGeom prst="roundRect">
          <a:avLst/>
        </a:prstGeom>
        <a:solidFill>
          <a:srgbClr val="FF99CC"/>
        </a:solidFill>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fi-FI" sz="1200"/>
            <a:t>Lihasonni</a:t>
          </a:r>
          <a:endParaRPr lang="fi-FI" sz="1050"/>
        </a:p>
      </xdr:txBody>
    </xdr:sp>
    <xdr:clientData/>
  </xdr:twoCellAnchor>
  <xdr:twoCellAnchor>
    <xdr:from>
      <xdr:col>1</xdr:col>
      <xdr:colOff>21165</xdr:colOff>
      <xdr:row>247</xdr:row>
      <xdr:rowOff>10585</xdr:rowOff>
    </xdr:from>
    <xdr:to>
      <xdr:col>1</xdr:col>
      <xdr:colOff>1090082</xdr:colOff>
      <xdr:row>249</xdr:row>
      <xdr:rowOff>10585</xdr:rowOff>
    </xdr:to>
    <xdr:sp macro="" textlink="">
      <xdr:nvSpPr>
        <xdr:cNvPr id="94" name="Pyöristetty suorakulmio 93" descr="Klikkaa tästä!" title="Siirry alkuun">
          <a:hlinkClick xmlns:r="http://schemas.openxmlformats.org/officeDocument/2006/relationships" r:id="rId9"/>
          <a:extLst>
            <a:ext uri="{FF2B5EF4-FFF2-40B4-BE49-F238E27FC236}">
              <a16:creationId xmlns:a16="http://schemas.microsoft.com/office/drawing/2014/main" id="{00000000-0008-0000-0F00-00005E000000}"/>
            </a:ext>
          </a:extLst>
        </xdr:cNvPr>
        <xdr:cNvSpPr/>
      </xdr:nvSpPr>
      <xdr:spPr>
        <a:xfrm>
          <a:off x="201082" y="5122335"/>
          <a:ext cx="1068917" cy="391583"/>
        </a:xfrm>
        <a:prstGeom prst="roundRect">
          <a:avLst/>
        </a:prstGeom>
        <a:solidFill>
          <a:srgbClr val="FFCCCC"/>
        </a:solidFill>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fi-FI" sz="1200"/>
            <a:t>Lihahieho</a:t>
          </a:r>
          <a:endParaRPr lang="fi-FI" sz="1050"/>
        </a:p>
      </xdr:txBody>
    </xdr:sp>
    <xdr:clientData/>
  </xdr:twoCellAnchor>
  <xdr:twoCellAnchor>
    <xdr:from>
      <xdr:col>1</xdr:col>
      <xdr:colOff>21165</xdr:colOff>
      <xdr:row>232</xdr:row>
      <xdr:rowOff>10585</xdr:rowOff>
    </xdr:from>
    <xdr:to>
      <xdr:col>1</xdr:col>
      <xdr:colOff>1090082</xdr:colOff>
      <xdr:row>233</xdr:row>
      <xdr:rowOff>148166</xdr:rowOff>
    </xdr:to>
    <xdr:sp macro="" textlink="">
      <xdr:nvSpPr>
        <xdr:cNvPr id="95" name="Pyöristetty suorakulmio 94" descr="Klikkaa tästä!" title="Siirry alkuun">
          <a:hlinkClick xmlns:r="http://schemas.openxmlformats.org/officeDocument/2006/relationships" r:id="rId1"/>
          <a:extLst>
            <a:ext uri="{FF2B5EF4-FFF2-40B4-BE49-F238E27FC236}">
              <a16:creationId xmlns:a16="http://schemas.microsoft.com/office/drawing/2014/main" id="{00000000-0008-0000-0F00-00005F000000}"/>
            </a:ext>
          </a:extLst>
        </xdr:cNvPr>
        <xdr:cNvSpPr/>
      </xdr:nvSpPr>
      <xdr:spPr>
        <a:xfrm>
          <a:off x="201082" y="2201335"/>
          <a:ext cx="1068917" cy="380998"/>
        </a:xfrm>
        <a:prstGeom prst="roundRect">
          <a:avLst/>
        </a:prstGeom>
        <a:solidFill>
          <a:srgbClr val="92D050"/>
        </a:solidFill>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fi-FI" sz="1200"/>
            <a:t>Säilörehu</a:t>
          </a:r>
          <a:endParaRPr lang="fi-FI" sz="1050"/>
        </a:p>
      </xdr:txBody>
    </xdr:sp>
    <xdr:clientData/>
  </xdr:twoCellAnchor>
  <xdr:twoCellAnchor>
    <xdr:from>
      <xdr:col>25</xdr:col>
      <xdr:colOff>0</xdr:colOff>
      <xdr:row>41</xdr:row>
      <xdr:rowOff>0</xdr:rowOff>
    </xdr:from>
    <xdr:to>
      <xdr:col>30</xdr:col>
      <xdr:colOff>1</xdr:colOff>
      <xdr:row>48</xdr:row>
      <xdr:rowOff>171450</xdr:rowOff>
    </xdr:to>
    <xdr:sp macro="" textlink="">
      <xdr:nvSpPr>
        <xdr:cNvPr id="98" name="Tekstiruutu 97">
          <a:extLst>
            <a:ext uri="{FF2B5EF4-FFF2-40B4-BE49-F238E27FC236}">
              <a16:creationId xmlns:a16="http://schemas.microsoft.com/office/drawing/2014/main" id="{00000000-0008-0000-0F00-000062000000}"/>
            </a:ext>
          </a:extLst>
        </xdr:cNvPr>
        <xdr:cNvSpPr txBox="1"/>
      </xdr:nvSpPr>
      <xdr:spPr>
        <a:xfrm>
          <a:off x="7112000" y="8773583"/>
          <a:ext cx="3185584" cy="1684867"/>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100"/>
            <a:t>Tähän tulee tilan taustatietoja...</a:t>
          </a:r>
        </a:p>
      </xdr:txBody>
    </xdr:sp>
    <xdr:clientData/>
  </xdr:twoCellAnchor>
  <xdr:twoCellAnchor>
    <xdr:from>
      <xdr:col>6</xdr:col>
      <xdr:colOff>581024</xdr:colOff>
      <xdr:row>180</xdr:row>
      <xdr:rowOff>19049</xdr:rowOff>
    </xdr:from>
    <xdr:to>
      <xdr:col>9</xdr:col>
      <xdr:colOff>123824</xdr:colOff>
      <xdr:row>187</xdr:row>
      <xdr:rowOff>238125</xdr:rowOff>
    </xdr:to>
    <xdr:graphicFrame macro="">
      <xdr:nvGraphicFramePr>
        <xdr:cNvPr id="100" name="Kaavio 99">
          <a:extLst>
            <a:ext uri="{FF2B5EF4-FFF2-40B4-BE49-F238E27FC236}">
              <a16:creationId xmlns:a16="http://schemas.microsoft.com/office/drawing/2014/main" id="{00000000-0008-0000-0F00-00006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25</xdr:col>
      <xdr:colOff>0</xdr:colOff>
      <xdr:row>179</xdr:row>
      <xdr:rowOff>0</xdr:rowOff>
    </xdr:from>
    <xdr:to>
      <xdr:col>30</xdr:col>
      <xdr:colOff>1</xdr:colOff>
      <xdr:row>186</xdr:row>
      <xdr:rowOff>171450</xdr:rowOff>
    </xdr:to>
    <xdr:sp macro="" textlink="">
      <xdr:nvSpPr>
        <xdr:cNvPr id="102" name="Tekstiruutu 101">
          <a:extLst>
            <a:ext uri="{FF2B5EF4-FFF2-40B4-BE49-F238E27FC236}">
              <a16:creationId xmlns:a16="http://schemas.microsoft.com/office/drawing/2014/main" id="{00000000-0008-0000-0F00-000066000000}"/>
            </a:ext>
          </a:extLst>
        </xdr:cNvPr>
        <xdr:cNvSpPr txBox="1"/>
      </xdr:nvSpPr>
      <xdr:spPr>
        <a:xfrm>
          <a:off x="7112000" y="37316833"/>
          <a:ext cx="3185584" cy="1684867"/>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100"/>
            <a:t>Tähän tulee tilan taustatietoja...</a:t>
          </a:r>
        </a:p>
      </xdr:txBody>
    </xdr:sp>
    <xdr:clientData/>
  </xdr:twoCellAnchor>
  <xdr:twoCellAnchor>
    <xdr:from>
      <xdr:col>21</xdr:col>
      <xdr:colOff>581024</xdr:colOff>
      <xdr:row>180</xdr:row>
      <xdr:rowOff>19049</xdr:rowOff>
    </xdr:from>
    <xdr:to>
      <xdr:col>24</xdr:col>
      <xdr:colOff>123824</xdr:colOff>
      <xdr:row>187</xdr:row>
      <xdr:rowOff>238125</xdr:rowOff>
    </xdr:to>
    <xdr:graphicFrame macro="">
      <xdr:nvGraphicFramePr>
        <xdr:cNvPr id="103" name="Kaavio 102">
          <a:extLst>
            <a:ext uri="{FF2B5EF4-FFF2-40B4-BE49-F238E27FC236}">
              <a16:creationId xmlns:a16="http://schemas.microsoft.com/office/drawing/2014/main" id="{00000000-0008-0000-0F00-00006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25</xdr:col>
      <xdr:colOff>0</xdr:colOff>
      <xdr:row>225</xdr:row>
      <xdr:rowOff>0</xdr:rowOff>
    </xdr:from>
    <xdr:to>
      <xdr:col>30</xdr:col>
      <xdr:colOff>1</xdr:colOff>
      <xdr:row>232</xdr:row>
      <xdr:rowOff>171450</xdr:rowOff>
    </xdr:to>
    <xdr:sp macro="" textlink="">
      <xdr:nvSpPr>
        <xdr:cNvPr id="105" name="Tekstiruutu 104">
          <a:extLst>
            <a:ext uri="{FF2B5EF4-FFF2-40B4-BE49-F238E27FC236}">
              <a16:creationId xmlns:a16="http://schemas.microsoft.com/office/drawing/2014/main" id="{00000000-0008-0000-0F00-000069000000}"/>
            </a:ext>
          </a:extLst>
        </xdr:cNvPr>
        <xdr:cNvSpPr txBox="1"/>
      </xdr:nvSpPr>
      <xdr:spPr>
        <a:xfrm>
          <a:off x="7112000" y="46831250"/>
          <a:ext cx="3185584" cy="1684867"/>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100"/>
            <a:t>Tähän tulee tilan taustatietoja...</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14</xdr:col>
      <xdr:colOff>238124</xdr:colOff>
      <xdr:row>98</xdr:row>
      <xdr:rowOff>0</xdr:rowOff>
    </xdr:from>
    <xdr:to>
      <xdr:col>15</xdr:col>
      <xdr:colOff>457200</xdr:colOff>
      <xdr:row>101</xdr:row>
      <xdr:rowOff>161925</xdr:rowOff>
    </xdr:to>
    <xdr:sp macro="" textlink="">
      <xdr:nvSpPr>
        <xdr:cNvPr id="2" name="Pyöristetty suorakulmio 1" descr="Klikkaa tästä!" title="Siirry alkuun">
          <a:hlinkClick xmlns:r="http://schemas.openxmlformats.org/officeDocument/2006/relationships" r:id="rId1"/>
          <a:extLst>
            <a:ext uri="{FF2B5EF4-FFF2-40B4-BE49-F238E27FC236}">
              <a16:creationId xmlns:a16="http://schemas.microsoft.com/office/drawing/2014/main" id="{00000000-0008-0000-1000-000002000000}"/>
            </a:ext>
          </a:extLst>
        </xdr:cNvPr>
        <xdr:cNvSpPr/>
      </xdr:nvSpPr>
      <xdr:spPr>
        <a:xfrm>
          <a:off x="10077449" y="18897600"/>
          <a:ext cx="828676" cy="733425"/>
        </a:xfrm>
        <a:prstGeom prst="roundRect">
          <a:avLst/>
        </a:prstGeom>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fi-FI" sz="1600"/>
            <a:t>Siirry alkuun</a:t>
          </a:r>
        </a:p>
      </xdr:txBody>
    </xdr:sp>
    <xdr:clientData/>
  </xdr:twoCellAnchor>
  <xdr:twoCellAnchor>
    <xdr:from>
      <xdr:col>11</xdr:col>
      <xdr:colOff>257175</xdr:colOff>
      <xdr:row>98</xdr:row>
      <xdr:rowOff>0</xdr:rowOff>
    </xdr:from>
    <xdr:to>
      <xdr:col>14</xdr:col>
      <xdr:colOff>66675</xdr:colOff>
      <xdr:row>101</xdr:row>
      <xdr:rowOff>161925</xdr:rowOff>
    </xdr:to>
    <xdr:sp macro="" textlink="">
      <xdr:nvSpPr>
        <xdr:cNvPr id="3" name="Pyöristetty suorakulmio 2" descr="Klikkaa tästä!" title="Siirry alkuun">
          <a:hlinkClick xmlns:r="http://schemas.openxmlformats.org/officeDocument/2006/relationships" r:id="rId2"/>
          <a:extLst>
            <a:ext uri="{FF2B5EF4-FFF2-40B4-BE49-F238E27FC236}">
              <a16:creationId xmlns:a16="http://schemas.microsoft.com/office/drawing/2014/main" id="{00000000-0008-0000-1000-000003000000}"/>
            </a:ext>
          </a:extLst>
        </xdr:cNvPr>
        <xdr:cNvSpPr/>
      </xdr:nvSpPr>
      <xdr:spPr>
        <a:xfrm>
          <a:off x="6010275" y="9715500"/>
          <a:ext cx="1628775" cy="733425"/>
        </a:xfrm>
        <a:prstGeom prst="roundRect">
          <a:avLst/>
        </a:prstGeom>
        <a:solidFill>
          <a:srgbClr val="98F20F"/>
        </a:solidFill>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fi-FI" sz="1800"/>
            <a:t>Lähtötiedot</a:t>
          </a:r>
          <a:endParaRPr lang="fi-FI" sz="1400"/>
        </a:p>
      </xdr:txBody>
    </xdr:sp>
    <xdr:clientData/>
  </xdr:twoCellAnchor>
  <xdr:twoCellAnchor editAs="oneCell">
    <xdr:from>
      <xdr:col>1</xdr:col>
      <xdr:colOff>0</xdr:colOff>
      <xdr:row>0</xdr:row>
      <xdr:rowOff>0</xdr:rowOff>
    </xdr:from>
    <xdr:to>
      <xdr:col>2</xdr:col>
      <xdr:colOff>333375</xdr:colOff>
      <xdr:row>0</xdr:row>
      <xdr:rowOff>339138</xdr:rowOff>
    </xdr:to>
    <xdr:pic>
      <xdr:nvPicPr>
        <xdr:cNvPr id="4" name="Kuva 3">
          <a:extLst>
            <a:ext uri="{FF2B5EF4-FFF2-40B4-BE49-F238E27FC236}">
              <a16:creationId xmlns:a16="http://schemas.microsoft.com/office/drawing/2014/main" id="{00000000-0008-0000-1000-000004000000}"/>
            </a:ext>
          </a:extLst>
        </xdr:cNvPr>
        <xdr:cNvPicPr>
          <a:picLocks noChangeAspect="1"/>
        </xdr:cNvPicPr>
      </xdr:nvPicPr>
      <xdr:blipFill rotWithShape="1">
        <a:blip xmlns:r="http://schemas.openxmlformats.org/officeDocument/2006/relationships" r:embed="rId3"/>
        <a:srcRect l="4914" t="19635" r="9124" b="32923"/>
        <a:stretch/>
      </xdr:blipFill>
      <xdr:spPr>
        <a:xfrm>
          <a:off x="180975" y="0"/>
          <a:ext cx="1123950" cy="339138"/>
        </a:xfrm>
        <a:prstGeom prst="rect">
          <a:avLst/>
        </a:prstGeom>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pic>
    <xdr:clientData/>
  </xdr:twoCellAnchor>
</xdr:wsDr>
</file>

<file path=xl/drawings/drawing18.xml><?xml version="1.0" encoding="utf-8"?>
<xdr:wsDr xmlns:xdr="http://schemas.openxmlformats.org/drawingml/2006/spreadsheetDrawing" xmlns:a="http://schemas.openxmlformats.org/drawingml/2006/main">
  <xdr:twoCellAnchor>
    <xdr:from>
      <xdr:col>0</xdr:col>
      <xdr:colOff>161926</xdr:colOff>
      <xdr:row>20</xdr:row>
      <xdr:rowOff>28575</xdr:rowOff>
    </xdr:from>
    <xdr:to>
      <xdr:col>11</xdr:col>
      <xdr:colOff>9525</xdr:colOff>
      <xdr:row>25</xdr:row>
      <xdr:rowOff>57150</xdr:rowOff>
    </xdr:to>
    <xdr:sp macro="" textlink="" fLocksText="0">
      <xdr:nvSpPr>
        <xdr:cNvPr id="2" name="Tekstiruutu 1">
          <a:extLst>
            <a:ext uri="{FF2B5EF4-FFF2-40B4-BE49-F238E27FC236}">
              <a16:creationId xmlns:a16="http://schemas.microsoft.com/office/drawing/2014/main" id="{00000000-0008-0000-1200-000002000000}"/>
            </a:ext>
          </a:extLst>
        </xdr:cNvPr>
        <xdr:cNvSpPr txBox="1"/>
      </xdr:nvSpPr>
      <xdr:spPr>
        <a:xfrm>
          <a:off x="161926" y="4667250"/>
          <a:ext cx="6677024" cy="981075"/>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100"/>
            <a:t>Esimerkissä on määritetty emolehmän vuositason energian tarve, kun emolehmien keskimääräinen elopaino on 850 kg. Maitotuotos</a:t>
          </a:r>
          <a:r>
            <a:rPr lang="fi-FI" sz="1100" baseline="0"/>
            <a:t> on 7 kg/pv eli 2100 kg/vuosi. </a:t>
          </a:r>
          <a:r>
            <a:rPr lang="fi-FI" sz="1100"/>
            <a:t>Lehmien oletetaan poikivan kerran vuodessa. Esimerkissä</a:t>
          </a:r>
          <a:r>
            <a:rPr lang="fi-FI" sz="1100" baseline="0"/>
            <a:t> tavoitellaan yhden kuntoluokan parannusta kolmosesta kakkoseen, joka lisää ylläpitoenergiantarvetta 19 % (Taulukko 3)</a:t>
          </a:r>
          <a:r>
            <a:rPr lang="fi-FI" sz="1100"/>
            <a:t>. Emolehmän</a:t>
          </a:r>
          <a:r>
            <a:rPr lang="fi-FI" sz="1100" baseline="0"/>
            <a:t> energiantarve edellä mainituilla tiedoilla on noin 40 000 MJ ME / vuosi.</a:t>
          </a:r>
          <a:endParaRPr lang="fi-FI" sz="1100"/>
        </a:p>
      </xdr:txBody>
    </xdr:sp>
    <xdr:clientData fLocksWithSheet="0"/>
  </xdr:twoCellAnchor>
  <xdr:twoCellAnchor>
    <xdr:from>
      <xdr:col>6</xdr:col>
      <xdr:colOff>723900</xdr:colOff>
      <xdr:row>5</xdr:row>
      <xdr:rowOff>19050</xdr:rowOff>
    </xdr:from>
    <xdr:to>
      <xdr:col>10</xdr:col>
      <xdr:colOff>485776</xdr:colOff>
      <xdr:row>9</xdr:row>
      <xdr:rowOff>171450</xdr:rowOff>
    </xdr:to>
    <xdr:sp macro="" textlink="">
      <xdr:nvSpPr>
        <xdr:cNvPr id="3" name="Tekstiruutu 2">
          <a:extLst>
            <a:ext uri="{FF2B5EF4-FFF2-40B4-BE49-F238E27FC236}">
              <a16:creationId xmlns:a16="http://schemas.microsoft.com/office/drawing/2014/main" id="{00000000-0008-0000-1200-000003000000}"/>
            </a:ext>
          </a:extLst>
        </xdr:cNvPr>
        <xdr:cNvSpPr txBox="1"/>
      </xdr:nvSpPr>
      <xdr:spPr>
        <a:xfrm>
          <a:off x="4305300" y="1447800"/>
          <a:ext cx="2495551" cy="876300"/>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fi-FI" sz="1000"/>
            <a:t>Ohje: Merkitse keltaisiin kenttiin emolehmien keskielopaino, kg ja keskituotos kg/v (</a:t>
          </a:r>
          <a:r>
            <a:rPr lang="fi-FI" sz="1000">
              <a:solidFill>
                <a:schemeClr val="dk1"/>
              </a:solidFill>
              <a:latin typeface="+mn-lt"/>
              <a:ea typeface="+mn-ea"/>
              <a:cs typeface="+mn-cs"/>
            </a:rPr>
            <a:t>katso Taulukko 4) sekä mahdollinen kuntoluokan muutos (Taulukko 3) </a:t>
          </a:r>
        </a:p>
      </xdr:txBody>
    </xdr:sp>
    <xdr:clientData/>
  </xdr:twoCellAnchor>
  <xdr:twoCellAnchor editAs="oneCell">
    <xdr:from>
      <xdr:col>0</xdr:col>
      <xdr:colOff>123825</xdr:colOff>
      <xdr:row>27</xdr:row>
      <xdr:rowOff>152400</xdr:rowOff>
    </xdr:from>
    <xdr:to>
      <xdr:col>10</xdr:col>
      <xdr:colOff>487551</xdr:colOff>
      <xdr:row>40</xdr:row>
      <xdr:rowOff>171093</xdr:rowOff>
    </xdr:to>
    <xdr:pic>
      <xdr:nvPicPr>
        <xdr:cNvPr id="4" name="Kuva 3">
          <a:extLst>
            <a:ext uri="{FF2B5EF4-FFF2-40B4-BE49-F238E27FC236}">
              <a16:creationId xmlns:a16="http://schemas.microsoft.com/office/drawing/2014/main" id="{00000000-0008-0000-1200-000004000000}"/>
            </a:ext>
          </a:extLst>
        </xdr:cNvPr>
        <xdr:cNvPicPr>
          <a:picLocks noChangeAspect="1"/>
        </xdr:cNvPicPr>
      </xdr:nvPicPr>
      <xdr:blipFill>
        <a:blip xmlns:r="http://schemas.openxmlformats.org/officeDocument/2006/relationships" r:embed="rId1"/>
        <a:stretch>
          <a:fillRect/>
        </a:stretch>
      </xdr:blipFill>
      <xdr:spPr>
        <a:xfrm>
          <a:off x="123825" y="6172200"/>
          <a:ext cx="6678801" cy="2495193"/>
        </a:xfrm>
        <a:prstGeom prst="rect">
          <a:avLst/>
        </a:prstGeom>
      </xdr:spPr>
    </xdr:pic>
    <xdr:clientData/>
  </xdr:twoCellAnchor>
  <xdr:twoCellAnchor editAs="oneCell">
    <xdr:from>
      <xdr:col>12</xdr:col>
      <xdr:colOff>123825</xdr:colOff>
      <xdr:row>11</xdr:row>
      <xdr:rowOff>123825</xdr:rowOff>
    </xdr:from>
    <xdr:to>
      <xdr:col>23</xdr:col>
      <xdr:colOff>480715</xdr:colOff>
      <xdr:row>14</xdr:row>
      <xdr:rowOff>9524</xdr:rowOff>
    </xdr:to>
    <xdr:pic>
      <xdr:nvPicPr>
        <xdr:cNvPr id="5" name="Kuva 4">
          <a:extLst>
            <a:ext uri="{FF2B5EF4-FFF2-40B4-BE49-F238E27FC236}">
              <a16:creationId xmlns:a16="http://schemas.microsoft.com/office/drawing/2014/main" id="{00000000-0008-0000-1200-000005000000}"/>
            </a:ext>
          </a:extLst>
        </xdr:cNvPr>
        <xdr:cNvPicPr>
          <a:picLocks noChangeAspect="1"/>
        </xdr:cNvPicPr>
      </xdr:nvPicPr>
      <xdr:blipFill>
        <a:blip xmlns:r="http://schemas.openxmlformats.org/officeDocument/2006/relationships" r:embed="rId2"/>
        <a:stretch>
          <a:fillRect/>
        </a:stretch>
      </xdr:blipFill>
      <xdr:spPr>
        <a:xfrm>
          <a:off x="7124700" y="2686050"/>
          <a:ext cx="6681490" cy="857249"/>
        </a:xfrm>
        <a:prstGeom prst="rect">
          <a:avLst/>
        </a:prstGeom>
      </xdr:spPr>
    </xdr:pic>
    <xdr:clientData/>
  </xdr:twoCellAnchor>
  <xdr:twoCellAnchor editAs="oneCell">
    <xdr:from>
      <xdr:col>12</xdr:col>
      <xdr:colOff>123825</xdr:colOff>
      <xdr:row>15</xdr:row>
      <xdr:rowOff>104775</xdr:rowOff>
    </xdr:from>
    <xdr:to>
      <xdr:col>23</xdr:col>
      <xdr:colOff>476250</xdr:colOff>
      <xdr:row>29</xdr:row>
      <xdr:rowOff>125373</xdr:rowOff>
    </xdr:to>
    <xdr:pic>
      <xdr:nvPicPr>
        <xdr:cNvPr id="6" name="Kuva 5">
          <a:extLst>
            <a:ext uri="{FF2B5EF4-FFF2-40B4-BE49-F238E27FC236}">
              <a16:creationId xmlns:a16="http://schemas.microsoft.com/office/drawing/2014/main" id="{00000000-0008-0000-1200-000006000000}"/>
            </a:ext>
          </a:extLst>
        </xdr:cNvPr>
        <xdr:cNvPicPr>
          <a:picLocks noChangeAspect="1"/>
        </xdr:cNvPicPr>
      </xdr:nvPicPr>
      <xdr:blipFill>
        <a:blip xmlns:r="http://schemas.openxmlformats.org/officeDocument/2006/relationships" r:embed="rId3"/>
        <a:stretch>
          <a:fillRect/>
        </a:stretch>
      </xdr:blipFill>
      <xdr:spPr>
        <a:xfrm>
          <a:off x="7124700" y="3829050"/>
          <a:ext cx="6677025" cy="2697123"/>
        </a:xfrm>
        <a:prstGeom prst="rect">
          <a:avLst/>
        </a:prstGeom>
      </xdr:spPr>
    </xdr:pic>
    <xdr:clientData/>
  </xdr:twoCellAnchor>
  <xdr:twoCellAnchor editAs="oneCell">
    <xdr:from>
      <xdr:col>12</xdr:col>
      <xdr:colOff>123826</xdr:colOff>
      <xdr:row>30</xdr:row>
      <xdr:rowOff>95250</xdr:rowOff>
    </xdr:from>
    <xdr:to>
      <xdr:col>23</xdr:col>
      <xdr:colOff>485776</xdr:colOff>
      <xdr:row>41</xdr:row>
      <xdr:rowOff>137117</xdr:rowOff>
    </xdr:to>
    <xdr:pic>
      <xdr:nvPicPr>
        <xdr:cNvPr id="7" name="Kuva 6">
          <a:extLst>
            <a:ext uri="{FF2B5EF4-FFF2-40B4-BE49-F238E27FC236}">
              <a16:creationId xmlns:a16="http://schemas.microsoft.com/office/drawing/2014/main" id="{00000000-0008-0000-1200-000007000000}"/>
            </a:ext>
          </a:extLst>
        </xdr:cNvPr>
        <xdr:cNvPicPr>
          <a:picLocks noChangeAspect="1"/>
        </xdr:cNvPicPr>
      </xdr:nvPicPr>
      <xdr:blipFill>
        <a:blip xmlns:r="http://schemas.openxmlformats.org/officeDocument/2006/relationships" r:embed="rId4"/>
        <a:stretch>
          <a:fillRect/>
        </a:stretch>
      </xdr:blipFill>
      <xdr:spPr>
        <a:xfrm>
          <a:off x="7124701" y="6686550"/>
          <a:ext cx="6686550" cy="2137367"/>
        </a:xfrm>
        <a:prstGeom prst="rect">
          <a:avLst/>
        </a:prstGeom>
      </xdr:spPr>
    </xdr:pic>
    <xdr:clientData/>
  </xdr:twoCellAnchor>
  <xdr:twoCellAnchor>
    <xdr:from>
      <xdr:col>16</xdr:col>
      <xdr:colOff>238124</xdr:colOff>
      <xdr:row>43</xdr:row>
      <xdr:rowOff>0</xdr:rowOff>
    </xdr:from>
    <xdr:to>
      <xdr:col>17</xdr:col>
      <xdr:colOff>457200</xdr:colOff>
      <xdr:row>46</xdr:row>
      <xdr:rowOff>161925</xdr:rowOff>
    </xdr:to>
    <xdr:sp macro="" textlink="">
      <xdr:nvSpPr>
        <xdr:cNvPr id="8" name="Pyöristetty suorakulmio 7" descr="Klikkaa tästä!" title="Siirry alkuun">
          <a:hlinkClick xmlns:r="http://schemas.openxmlformats.org/officeDocument/2006/relationships" r:id="rId5"/>
          <a:extLst>
            <a:ext uri="{FF2B5EF4-FFF2-40B4-BE49-F238E27FC236}">
              <a16:creationId xmlns:a16="http://schemas.microsoft.com/office/drawing/2014/main" id="{00000000-0008-0000-1200-000008000000}"/>
            </a:ext>
          </a:extLst>
        </xdr:cNvPr>
        <xdr:cNvSpPr/>
      </xdr:nvSpPr>
      <xdr:spPr>
        <a:xfrm>
          <a:off x="10077449" y="18897600"/>
          <a:ext cx="828676" cy="733425"/>
        </a:xfrm>
        <a:prstGeom prst="roundRect">
          <a:avLst/>
        </a:prstGeom>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fi-FI" sz="1600"/>
            <a:t>Siirry alkuun</a:t>
          </a:r>
        </a:p>
      </xdr:txBody>
    </xdr:sp>
    <xdr:clientData/>
  </xdr:twoCellAnchor>
  <xdr:twoCellAnchor>
    <xdr:from>
      <xdr:col>13</xdr:col>
      <xdr:colOff>257175</xdr:colOff>
      <xdr:row>43</xdr:row>
      <xdr:rowOff>0</xdr:rowOff>
    </xdr:from>
    <xdr:to>
      <xdr:col>16</xdr:col>
      <xdr:colOff>66675</xdr:colOff>
      <xdr:row>46</xdr:row>
      <xdr:rowOff>161925</xdr:rowOff>
    </xdr:to>
    <xdr:sp macro="" textlink="">
      <xdr:nvSpPr>
        <xdr:cNvPr id="9" name="Pyöristetty suorakulmio 8" descr="Klikkaa tästä!" title="Siirry alkuun">
          <a:hlinkClick xmlns:r="http://schemas.openxmlformats.org/officeDocument/2006/relationships" r:id="rId6"/>
          <a:extLst>
            <a:ext uri="{FF2B5EF4-FFF2-40B4-BE49-F238E27FC236}">
              <a16:creationId xmlns:a16="http://schemas.microsoft.com/office/drawing/2014/main" id="{00000000-0008-0000-1200-000009000000}"/>
            </a:ext>
          </a:extLst>
        </xdr:cNvPr>
        <xdr:cNvSpPr/>
      </xdr:nvSpPr>
      <xdr:spPr>
        <a:xfrm>
          <a:off x="8162925" y="18897600"/>
          <a:ext cx="1743075" cy="733425"/>
        </a:xfrm>
        <a:prstGeom prst="roundRect">
          <a:avLst/>
        </a:prstGeom>
        <a:solidFill>
          <a:srgbClr val="98F20F"/>
        </a:solidFill>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fi-FI" sz="1800"/>
            <a:t>Lähtötiedot</a:t>
          </a:r>
          <a:endParaRPr lang="fi-FI" sz="1400"/>
        </a:p>
      </xdr:txBody>
    </xdr:sp>
    <xdr:clientData/>
  </xdr:twoCellAnchor>
  <xdr:twoCellAnchor editAs="oneCell">
    <xdr:from>
      <xdr:col>1</xdr:col>
      <xdr:colOff>0</xdr:colOff>
      <xdr:row>0</xdr:row>
      <xdr:rowOff>0</xdr:rowOff>
    </xdr:from>
    <xdr:to>
      <xdr:col>2</xdr:col>
      <xdr:colOff>514350</xdr:colOff>
      <xdr:row>0</xdr:row>
      <xdr:rowOff>339138</xdr:rowOff>
    </xdr:to>
    <xdr:pic>
      <xdr:nvPicPr>
        <xdr:cNvPr id="10" name="Kuva 9">
          <a:extLst>
            <a:ext uri="{FF2B5EF4-FFF2-40B4-BE49-F238E27FC236}">
              <a16:creationId xmlns:a16="http://schemas.microsoft.com/office/drawing/2014/main" id="{00000000-0008-0000-1200-00000A000000}"/>
            </a:ext>
          </a:extLst>
        </xdr:cNvPr>
        <xdr:cNvPicPr>
          <a:picLocks noChangeAspect="1"/>
        </xdr:cNvPicPr>
      </xdr:nvPicPr>
      <xdr:blipFill rotWithShape="1">
        <a:blip xmlns:r="http://schemas.openxmlformats.org/officeDocument/2006/relationships" r:embed="rId7"/>
        <a:srcRect l="4914" t="19635" r="9124" b="32923"/>
        <a:stretch/>
      </xdr:blipFill>
      <xdr:spPr>
        <a:xfrm>
          <a:off x="171450" y="0"/>
          <a:ext cx="1123950" cy="339138"/>
        </a:xfrm>
        <a:prstGeom prst="rect">
          <a:avLst/>
        </a:prstGeom>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542925</xdr:colOff>
      <xdr:row>0</xdr:row>
      <xdr:rowOff>339138</xdr:rowOff>
    </xdr:to>
    <xdr:pic>
      <xdr:nvPicPr>
        <xdr:cNvPr id="2" name="Kuva 1">
          <a:extLst>
            <a:ext uri="{FF2B5EF4-FFF2-40B4-BE49-F238E27FC236}">
              <a16:creationId xmlns:a16="http://schemas.microsoft.com/office/drawing/2014/main" id="{00000000-0008-0000-1100-000002000000}"/>
            </a:ext>
          </a:extLst>
        </xdr:cNvPr>
        <xdr:cNvPicPr>
          <a:picLocks noChangeAspect="1"/>
        </xdr:cNvPicPr>
      </xdr:nvPicPr>
      <xdr:blipFill rotWithShape="1">
        <a:blip xmlns:r="http://schemas.openxmlformats.org/officeDocument/2006/relationships" r:embed="rId1"/>
        <a:srcRect l="4914" t="19635" r="9124" b="32923"/>
        <a:stretch/>
      </xdr:blipFill>
      <xdr:spPr>
        <a:xfrm>
          <a:off x="180975" y="0"/>
          <a:ext cx="1123950" cy="339138"/>
        </a:xfrm>
        <a:prstGeom prst="rect">
          <a:avLst/>
        </a:prstGeom>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pic>
    <xdr:clientData/>
  </xdr:twoCellAnchor>
  <xdr:twoCellAnchor>
    <xdr:from>
      <xdr:col>6</xdr:col>
      <xdr:colOff>0</xdr:colOff>
      <xdr:row>5</xdr:row>
      <xdr:rowOff>19050</xdr:rowOff>
    </xdr:from>
    <xdr:to>
      <xdr:col>10</xdr:col>
      <xdr:colOff>561974</xdr:colOff>
      <xdr:row>8</xdr:row>
      <xdr:rowOff>161925</xdr:rowOff>
    </xdr:to>
    <xdr:sp macro="" textlink="">
      <xdr:nvSpPr>
        <xdr:cNvPr id="3" name="Tekstiruutu 2">
          <a:extLst>
            <a:ext uri="{FF2B5EF4-FFF2-40B4-BE49-F238E27FC236}">
              <a16:creationId xmlns:a16="http://schemas.microsoft.com/office/drawing/2014/main" id="{00000000-0008-0000-1100-000003000000}"/>
            </a:ext>
          </a:extLst>
        </xdr:cNvPr>
        <xdr:cNvSpPr txBox="1"/>
      </xdr:nvSpPr>
      <xdr:spPr>
        <a:xfrm>
          <a:off x="3086100" y="1504950"/>
          <a:ext cx="2886074" cy="742950"/>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950"/>
            <a:t>Ohje: Määritä emolehmätuotannon uudistushiehojen energiantarve (MJ/pv ja MJ/kasvatusaika) rodun ja kasvun perusteella.</a:t>
          </a:r>
        </a:p>
      </xdr:txBody>
    </xdr:sp>
    <xdr:clientData/>
  </xdr:twoCellAnchor>
  <xdr:twoCellAnchor>
    <xdr:from>
      <xdr:col>21</xdr:col>
      <xdr:colOff>504824</xdr:colOff>
      <xdr:row>35</xdr:row>
      <xdr:rowOff>0</xdr:rowOff>
    </xdr:from>
    <xdr:to>
      <xdr:col>23</xdr:col>
      <xdr:colOff>476250</xdr:colOff>
      <xdr:row>38</xdr:row>
      <xdr:rowOff>161925</xdr:rowOff>
    </xdr:to>
    <xdr:sp macro="" textlink="">
      <xdr:nvSpPr>
        <xdr:cNvPr id="4" name="Pyöristetty suorakulmio 3" descr="Klikkaa tästä!" title="Siirry alkuun">
          <a:hlinkClick xmlns:r="http://schemas.openxmlformats.org/officeDocument/2006/relationships" r:id="rId2"/>
          <a:extLst>
            <a:ext uri="{FF2B5EF4-FFF2-40B4-BE49-F238E27FC236}">
              <a16:creationId xmlns:a16="http://schemas.microsoft.com/office/drawing/2014/main" id="{00000000-0008-0000-1100-000004000000}"/>
            </a:ext>
          </a:extLst>
        </xdr:cNvPr>
        <xdr:cNvSpPr/>
      </xdr:nvSpPr>
      <xdr:spPr>
        <a:xfrm>
          <a:off x="13725524" y="8239125"/>
          <a:ext cx="866776" cy="762000"/>
        </a:xfrm>
        <a:prstGeom prst="roundRect">
          <a:avLst/>
        </a:prstGeom>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fi-FI" sz="1600"/>
            <a:t>Siirry alkuun</a:t>
          </a:r>
        </a:p>
      </xdr:txBody>
    </xdr:sp>
    <xdr:clientData/>
  </xdr:twoCellAnchor>
  <xdr:twoCellAnchor>
    <xdr:from>
      <xdr:col>19</xdr:col>
      <xdr:colOff>257176</xdr:colOff>
      <xdr:row>35</xdr:row>
      <xdr:rowOff>0</xdr:rowOff>
    </xdr:from>
    <xdr:to>
      <xdr:col>21</xdr:col>
      <xdr:colOff>314326</xdr:colOff>
      <xdr:row>38</xdr:row>
      <xdr:rowOff>161925</xdr:rowOff>
    </xdr:to>
    <xdr:sp macro="" textlink="">
      <xdr:nvSpPr>
        <xdr:cNvPr id="5" name="Pyöristetty suorakulmio 4" descr="Klikkaa tästä!" title="Siirry alkuun">
          <a:hlinkClick xmlns:r="http://schemas.openxmlformats.org/officeDocument/2006/relationships" r:id="rId3"/>
          <a:extLst>
            <a:ext uri="{FF2B5EF4-FFF2-40B4-BE49-F238E27FC236}">
              <a16:creationId xmlns:a16="http://schemas.microsoft.com/office/drawing/2014/main" id="{00000000-0008-0000-1100-000005000000}"/>
            </a:ext>
          </a:extLst>
        </xdr:cNvPr>
        <xdr:cNvSpPr/>
      </xdr:nvSpPr>
      <xdr:spPr>
        <a:xfrm>
          <a:off x="12049126" y="8239125"/>
          <a:ext cx="1485900" cy="762000"/>
        </a:xfrm>
        <a:prstGeom prst="roundRect">
          <a:avLst/>
        </a:prstGeom>
        <a:solidFill>
          <a:srgbClr val="98F20F"/>
        </a:solidFill>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fi-FI" sz="1800"/>
            <a:t>Lähtötiedot</a:t>
          </a:r>
          <a:endParaRPr lang="fi-FI" sz="14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66677</xdr:colOff>
      <xdr:row>4</xdr:row>
      <xdr:rowOff>57150</xdr:rowOff>
    </xdr:from>
    <xdr:to>
      <xdr:col>12</xdr:col>
      <xdr:colOff>323851</xdr:colOff>
      <xdr:row>37</xdr:row>
      <xdr:rowOff>47625</xdr:rowOff>
    </xdr:to>
    <xdr:sp macro="" textlink="">
      <xdr:nvSpPr>
        <xdr:cNvPr id="2" name="Tekstiruutu 1">
          <a:extLst>
            <a:ext uri="{FF2B5EF4-FFF2-40B4-BE49-F238E27FC236}">
              <a16:creationId xmlns:a16="http://schemas.microsoft.com/office/drawing/2014/main" id="{00000000-0008-0000-0100-000002000000}"/>
            </a:ext>
          </a:extLst>
        </xdr:cNvPr>
        <xdr:cNvSpPr txBox="1"/>
      </xdr:nvSpPr>
      <xdr:spPr>
        <a:xfrm>
          <a:off x="676277" y="771525"/>
          <a:ext cx="6962774" cy="6276975"/>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200" b="1">
              <a:solidFill>
                <a:srgbClr val="0070C0"/>
              </a:solidFill>
            </a:rPr>
            <a:t>€</a:t>
          </a:r>
          <a:r>
            <a:rPr lang="fi-FI" sz="1400" b="1">
              <a:solidFill>
                <a:schemeClr val="accent6">
                  <a:lumMod val="50000"/>
                </a:schemeClr>
              </a:solidFill>
            </a:rPr>
            <a:t>Nurmi</a:t>
          </a:r>
          <a:r>
            <a:rPr lang="fi-FI" sz="1100"/>
            <a:t>– laskentapohjan suojauksista:</a:t>
          </a:r>
        </a:p>
        <a:p>
          <a:endParaRPr lang="fi-FI" sz="1100"/>
        </a:p>
        <a:p>
          <a:r>
            <a:rPr lang="fi-FI" sz="1100">
              <a:solidFill>
                <a:schemeClr val="accent4">
                  <a:lumMod val="75000"/>
                </a:schemeClr>
              </a:solidFill>
            </a:rPr>
            <a:t>Keltainen</a:t>
          </a:r>
          <a:r>
            <a:rPr lang="fi-FI" sz="1100"/>
            <a:t>:   Solua ei ole suojattu! Keltaisiin kenttiin merkitään laskelman lähtötiedot. Niihin laaditaan myös tarpeellisia kaavoja ja viittauksia siten, että laskelmat linkittyvät toisiinsa.</a:t>
          </a:r>
        </a:p>
        <a:p>
          <a:endParaRPr lang="fi-FI" sz="1100"/>
        </a:p>
        <a:p>
          <a:r>
            <a:rPr lang="fi-FI" sz="1100">
              <a:solidFill>
                <a:srgbClr val="00B050"/>
              </a:solidFill>
            </a:rPr>
            <a:t>Vihreä</a:t>
          </a:r>
          <a:r>
            <a:rPr lang="fi-FI" sz="1100"/>
            <a:t>:        Solua ei ole suojattu! Vihreässä solussa on valmis kaava tai linkki, jota ei saa muuttaa, kuin erityistapauksissa. Muutos tehdään lähtötiedoissa (ks. mihin solussa on viittaus)</a:t>
          </a:r>
        </a:p>
        <a:p>
          <a:endParaRPr lang="fi-FI" sz="1100"/>
        </a:p>
        <a:p>
          <a:r>
            <a:rPr lang="fi-FI" sz="1100">
              <a:solidFill>
                <a:schemeClr val="bg1"/>
              </a:solidFill>
            </a:rPr>
            <a:t>Valkoinen</a:t>
          </a:r>
          <a:r>
            <a:rPr lang="fi-FI" sz="1100"/>
            <a:t>:  Solu on suojattu! Valkoisessa solussa on valmis kaava tai linkki, jota ei saa muuttaa. Mikäli solun tietoa pitää muuttaa, muutos tehdään lähtötiedoissa: Valitse solu ja katso kaavariviltä mihin solussa on viittaus ja tee korjaukset lähtötietosoluihin.</a:t>
          </a:r>
        </a:p>
        <a:p>
          <a:endParaRPr lang="fi-FI" sz="1100"/>
        </a:p>
        <a:p>
          <a:r>
            <a:rPr lang="fi-FI" sz="1100">
              <a:solidFill>
                <a:srgbClr val="FF0000"/>
              </a:solidFill>
            </a:rPr>
            <a:t>Kiellettyjä toimintoja</a:t>
          </a:r>
        </a:p>
        <a:p>
          <a:r>
            <a:rPr lang="fi-FI" sz="1100"/>
            <a:t>Kiellettyjä toimintoja ovat </a:t>
          </a:r>
          <a:r>
            <a:rPr lang="fi-FI" sz="1100">
              <a:solidFill>
                <a:srgbClr val="FF0000"/>
              </a:solidFill>
            </a:rPr>
            <a:t>leikkaaminen</a:t>
          </a:r>
          <a:r>
            <a:rPr lang="fi-FI" sz="1100"/>
            <a:t> (cut) ja </a:t>
          </a:r>
          <a:r>
            <a:rPr lang="fi-FI" sz="1100">
              <a:solidFill>
                <a:srgbClr val="FF0000"/>
              </a:solidFill>
            </a:rPr>
            <a:t>raahaaminen</a:t>
          </a:r>
          <a:r>
            <a:rPr lang="fi-FI" sz="1100"/>
            <a:t> (solun siirtäminen toiseen paikkaan)</a:t>
          </a:r>
        </a:p>
        <a:p>
          <a:endParaRPr lang="fi-FI" sz="1100"/>
        </a:p>
        <a:p>
          <a:r>
            <a:rPr lang="fi-FI" sz="1100"/>
            <a:t>Mikäli näin tapahtuu vahingossa -&gt; </a:t>
          </a:r>
          <a:r>
            <a:rPr lang="fi-FI" sz="1100">
              <a:solidFill>
                <a:srgbClr val="00B0F0"/>
              </a:solidFill>
            </a:rPr>
            <a:t>Kumoa </a:t>
          </a:r>
          <a:r>
            <a:rPr lang="fi-FI" sz="1100"/>
            <a:t>(undo). Kumoa edellisiä toimintoja kunnes vika on korjaantunut. </a:t>
          </a:r>
        </a:p>
        <a:p>
          <a:r>
            <a:rPr lang="fi-FI" sz="1100"/>
            <a:t>Peru kielletty toiminto kumoa-painikkeella, ennen tallentamista! </a:t>
          </a:r>
        </a:p>
        <a:p>
          <a:endParaRPr lang="fi-FI" sz="1100"/>
        </a:p>
        <a:p>
          <a:r>
            <a:rPr lang="fi-FI" sz="1100">
              <a:solidFill>
                <a:srgbClr val="00B050"/>
              </a:solidFill>
            </a:rPr>
            <a:t>Sallittuja toimintoja</a:t>
          </a:r>
        </a:p>
        <a:p>
          <a:r>
            <a:rPr lang="fi-FI" sz="1100"/>
            <a:t>Sallittuja toimintoja ovat </a:t>
          </a:r>
          <a:r>
            <a:rPr lang="fi-FI" sz="1100">
              <a:solidFill>
                <a:srgbClr val="00B050"/>
              </a:solidFill>
            </a:rPr>
            <a:t>kopioiminen </a:t>
          </a:r>
          <a:r>
            <a:rPr lang="fi-FI" sz="1100"/>
            <a:t>(copy) ja </a:t>
          </a:r>
          <a:r>
            <a:rPr lang="fi-FI" sz="1100">
              <a:solidFill>
                <a:srgbClr val="00B050"/>
              </a:solidFill>
            </a:rPr>
            <a:t>liittäminen </a:t>
          </a:r>
          <a:r>
            <a:rPr lang="fi-FI" sz="1100"/>
            <a:t>(paste) eli solun sisällön kopioiminen omassa työkirjassa toiseen paikkaan.</a:t>
          </a:r>
        </a:p>
        <a:p>
          <a:endParaRPr lang="fi-FI" sz="1100"/>
        </a:p>
        <a:p>
          <a:r>
            <a:rPr lang="fi-FI" sz="1100" i="1"/>
            <a:t>Mikäli toimit vastoin tätä ohjetta, joudut mahdollisesti aloittamaan laskelman alusta uudesta laskentapohjasta!</a:t>
          </a:r>
        </a:p>
        <a:p>
          <a:endParaRPr lang="fi-FI" sz="1100"/>
        </a:p>
        <a:p>
          <a:endParaRPr lang="fi-FI" sz="1100"/>
        </a:p>
        <a:p>
          <a:r>
            <a:rPr lang="fi-FI" sz="1100"/>
            <a:t>Laskelmapohja on tehty </a:t>
          </a:r>
          <a:r>
            <a:rPr lang="fi-FI" sz="1100" i="1"/>
            <a:t>MS Office Excel 2013</a:t>
          </a:r>
          <a:r>
            <a:rPr lang="fi-FI" sz="1100"/>
            <a:t>:lla ja on yhteensopiva kaikkien Office – versioiden kanssa.</a:t>
          </a:r>
        </a:p>
        <a:p>
          <a:endParaRPr lang="fi-FI" sz="1100"/>
        </a:p>
        <a:p>
          <a:r>
            <a:rPr lang="fi-FI" sz="1100" b="1"/>
            <a:t>Open Office </a:t>
          </a:r>
          <a:r>
            <a:rPr lang="fi-FI" sz="1100"/>
            <a:t>– ohjelmaa ei suositella, koska tämä </a:t>
          </a:r>
          <a:r>
            <a:rPr lang="fi-FI" sz="1100" b="1"/>
            <a:t>aiheuttaa ongelmia laskelmapohjan käytössä: </a:t>
          </a:r>
          <a:r>
            <a:rPr lang="fi-FI" sz="1100" b="0"/>
            <a:t>T</a:t>
          </a:r>
          <a:r>
            <a:rPr lang="fi-FI" sz="1100"/>
            <a:t>aulukoissa on suojaus, joten laskentapohja ei toimi kunnolla Open Officessa ja muissa taulukkolaskentaohjelmissa! Kaavat ja viittaukset eivät ehkä toimi tarkoitetulla tavalla.</a:t>
          </a:r>
        </a:p>
        <a:p>
          <a:endParaRPr lang="fi-FI" sz="1100"/>
        </a:p>
        <a:p>
          <a:r>
            <a:rPr lang="fi-FI" sz="1100" b="1"/>
            <a:t>Muotoilusiveltimellä</a:t>
          </a:r>
          <a:r>
            <a:rPr lang="fi-FI" sz="1100"/>
            <a:t> voit muuttaa luvun pyöristämistä solussa tai korjata sellaisia soluja, joissa on esim. päiväys*: </a:t>
          </a:r>
        </a:p>
        <a:p>
          <a:r>
            <a:rPr lang="fi-FI" sz="1100"/>
            <a:t>Valitse ensin lähdesolu (joka toimii haluamallasi tavalla), klikkaa muotoilusivellintä ja sen jälkeen kohdesolua.</a:t>
          </a:r>
        </a:p>
        <a:p>
          <a:r>
            <a:rPr lang="fi-FI" sz="1100"/>
            <a:t>*Päiväys johtuu siitä, että kyseiseen soluun on merkitty aikaisemmin tieto, jonka Excel on tulkinnut päivämääräksi.</a:t>
          </a:r>
        </a:p>
        <a:p>
          <a:endParaRPr lang="fi-FI" sz="1100"/>
        </a:p>
        <a:p>
          <a:r>
            <a:rPr lang="fi-FI" sz="1100" u="none">
              <a:solidFill>
                <a:sysClr val="windowText" lastClr="000000"/>
              </a:solidFill>
            </a:rPr>
            <a:t>(c) </a:t>
          </a:r>
          <a:r>
            <a:rPr lang="fi-FI" sz="1100" u="sng">
              <a:solidFill>
                <a:schemeClr val="accent1">
                  <a:lumMod val="75000"/>
                </a:schemeClr>
              </a:solidFill>
            </a:rPr>
            <a:t>hannu.viitala@savonia.fi</a:t>
          </a:r>
        </a:p>
        <a:p>
          <a:endParaRPr lang="fi-FI" sz="1100"/>
        </a:p>
        <a:p>
          <a:endParaRPr lang="fi-FI" sz="1100"/>
        </a:p>
      </xdr:txBody>
    </xdr:sp>
    <xdr:clientData/>
  </xdr:twoCellAnchor>
  <xdr:twoCellAnchor>
    <xdr:from>
      <xdr:col>13</xdr:col>
      <xdr:colOff>85725</xdr:colOff>
      <xdr:row>4</xdr:row>
      <xdr:rowOff>57151</xdr:rowOff>
    </xdr:from>
    <xdr:to>
      <xdr:col>24</xdr:col>
      <xdr:colOff>342899</xdr:colOff>
      <xdr:row>37</xdr:row>
      <xdr:rowOff>57151</xdr:rowOff>
    </xdr:to>
    <xdr:sp macro="" textlink="">
      <xdr:nvSpPr>
        <xdr:cNvPr id="3" name="Tekstiruutu 2">
          <a:extLst>
            <a:ext uri="{FF2B5EF4-FFF2-40B4-BE49-F238E27FC236}">
              <a16:creationId xmlns:a16="http://schemas.microsoft.com/office/drawing/2014/main" id="{00000000-0008-0000-0100-000003000000}"/>
            </a:ext>
          </a:extLst>
        </xdr:cNvPr>
        <xdr:cNvSpPr txBox="1"/>
      </xdr:nvSpPr>
      <xdr:spPr>
        <a:xfrm>
          <a:off x="8010525" y="771526"/>
          <a:ext cx="6962774" cy="6286500"/>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fi-FI" sz="1100" b="1"/>
        </a:p>
        <a:p>
          <a:endParaRPr lang="fi-FI" sz="1100" b="1"/>
        </a:p>
        <a:p>
          <a:r>
            <a:rPr lang="fi-FI" sz="1100" b="1"/>
            <a:t>Tallennus</a:t>
          </a:r>
        </a:p>
        <a:p>
          <a:endParaRPr lang="fi-FI" sz="1100"/>
        </a:p>
        <a:p>
          <a:r>
            <a:rPr lang="fi-FI" sz="1100"/>
            <a:t>Tallenna tämä tiedosto omalla nimelläsi esim. </a:t>
          </a:r>
          <a:r>
            <a:rPr lang="fi-FI" sz="1100" b="1"/>
            <a:t>"€Nurmi Erkki Esimerkki xx xx 202x" </a:t>
          </a:r>
          <a:r>
            <a:rPr lang="fi-FI" sz="1100"/>
            <a:t>omiin tiedostoihin. </a:t>
          </a:r>
          <a:r>
            <a:rPr lang="fi-FI" sz="1100" b="0">
              <a:solidFill>
                <a:schemeClr val="dk1"/>
              </a:solidFill>
              <a:effectLst/>
              <a:latin typeface="+mn-lt"/>
              <a:ea typeface="+mn-ea"/>
              <a:cs typeface="+mn-cs"/>
            </a:rPr>
            <a:t>Tallenna laskelman vaiheet erillisinä tiedostoina </a:t>
          </a:r>
          <a:r>
            <a:rPr lang="fi-FI" sz="1100">
              <a:solidFill>
                <a:schemeClr val="dk1"/>
              </a:solidFill>
              <a:effectLst/>
              <a:latin typeface="+mn-lt"/>
              <a:ea typeface="+mn-ea"/>
              <a:cs typeface="+mn-cs"/>
            </a:rPr>
            <a:t>(päiväys tiedoston nimessä), jolloin voit tarvittaessa ottaa käyttöön laskelman edellisen version. Älä käytä tiedoston nimessä pistettä!</a:t>
          </a:r>
        </a:p>
        <a:p>
          <a:endParaRPr lang="fi-FI">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fi-FI" sz="1100">
              <a:solidFill>
                <a:schemeClr val="dk1"/>
              </a:solidFill>
              <a:effectLst/>
              <a:latin typeface="+mn-lt"/>
              <a:ea typeface="+mn-ea"/>
              <a:cs typeface="+mn-cs"/>
            </a:rPr>
            <a:t>Tallenna tiedosto omalle koneellesi. Voit tehdä laskelmasta eri versioita (nimeä uudelleen). </a:t>
          </a:r>
          <a:r>
            <a:rPr lang="fi-FI" sz="1100" b="1">
              <a:solidFill>
                <a:schemeClr val="dk1"/>
              </a:solidFill>
              <a:effectLst/>
              <a:latin typeface="+mn-lt"/>
              <a:ea typeface="+mn-ea"/>
              <a:cs typeface="+mn-cs"/>
            </a:rPr>
            <a:t>Tallenna usein </a:t>
          </a:r>
          <a:r>
            <a:rPr lang="fi-FI" sz="1100">
              <a:solidFill>
                <a:schemeClr val="dk1"/>
              </a:solidFill>
              <a:effectLst/>
              <a:latin typeface="+mn-lt"/>
              <a:ea typeface="+mn-ea"/>
              <a:cs typeface="+mn-cs"/>
            </a:rPr>
            <a:t>tai kytke automaattinen tallennus päälle! Tiedoston</a:t>
          </a:r>
          <a:r>
            <a:rPr lang="fi-FI" sz="1100" baseline="0">
              <a:solidFill>
                <a:schemeClr val="dk1"/>
              </a:solidFill>
              <a:effectLst/>
              <a:latin typeface="+mn-lt"/>
              <a:ea typeface="+mn-ea"/>
              <a:cs typeface="+mn-cs"/>
            </a:rPr>
            <a:t> voi tallentaa myös </a:t>
          </a:r>
          <a:r>
            <a:rPr lang="fi-FI" sz="1100" i="1" baseline="0">
              <a:solidFill>
                <a:schemeClr val="dk1"/>
              </a:solidFill>
              <a:effectLst/>
              <a:latin typeface="+mn-lt"/>
              <a:ea typeface="+mn-ea"/>
              <a:cs typeface="+mn-cs"/>
            </a:rPr>
            <a:t>OneDriveen</a:t>
          </a:r>
          <a:r>
            <a:rPr lang="fi-FI" sz="1100" baseline="0">
              <a:solidFill>
                <a:schemeClr val="dk1"/>
              </a:solidFill>
              <a:effectLst/>
              <a:latin typeface="+mn-lt"/>
              <a:ea typeface="+mn-ea"/>
              <a:cs typeface="+mn-cs"/>
            </a:rPr>
            <a:t> tai muuhun pilvipalveluun, mutta avaa tällöin tiedosto aina </a:t>
          </a:r>
          <a:r>
            <a:rPr lang="fi-FI" sz="1100" i="1" baseline="0">
              <a:solidFill>
                <a:schemeClr val="dk1"/>
              </a:solidFill>
              <a:effectLst/>
              <a:latin typeface="+mn-lt"/>
              <a:ea typeface="+mn-ea"/>
              <a:cs typeface="+mn-cs"/>
            </a:rPr>
            <a:t>Excel</a:t>
          </a:r>
          <a:r>
            <a:rPr lang="fi-FI" sz="1100" baseline="0">
              <a:solidFill>
                <a:schemeClr val="dk1"/>
              </a:solidFill>
              <a:effectLst/>
              <a:latin typeface="+mn-lt"/>
              <a:ea typeface="+mn-ea"/>
              <a:cs typeface="+mn-cs"/>
            </a:rPr>
            <a:t>-muodossa. Esimerkiksi kommentit (ohjeet) eivät näy </a:t>
          </a:r>
          <a:r>
            <a:rPr lang="fi-FI" sz="1100" i="1" baseline="0">
              <a:solidFill>
                <a:schemeClr val="dk1"/>
              </a:solidFill>
              <a:effectLst/>
              <a:latin typeface="+mn-lt"/>
              <a:ea typeface="+mn-ea"/>
              <a:cs typeface="+mn-cs"/>
            </a:rPr>
            <a:t>OneDrive</a:t>
          </a:r>
          <a:r>
            <a:rPr lang="fi-FI" sz="1100" baseline="0">
              <a:solidFill>
                <a:schemeClr val="dk1"/>
              </a:solidFill>
              <a:effectLst/>
              <a:latin typeface="+mn-lt"/>
              <a:ea typeface="+mn-ea"/>
              <a:cs typeface="+mn-cs"/>
            </a:rPr>
            <a:t>-tiedostossa.</a:t>
          </a:r>
          <a:endParaRPr lang="fi-FI">
            <a:effectLst/>
          </a:endParaRPr>
        </a:p>
        <a:p>
          <a:endParaRPr lang="fi-FI" sz="1100"/>
        </a:p>
        <a:p>
          <a:r>
            <a:rPr lang="fi-FI" sz="1100" b="1"/>
            <a:t>Aloitus ja eteneminen</a:t>
          </a:r>
        </a:p>
        <a:p>
          <a:endParaRPr lang="fi-FI" sz="1100"/>
        </a:p>
        <a:p>
          <a:r>
            <a:rPr lang="fi-FI" sz="1100" baseline="0"/>
            <a:t>Kirjaa </a:t>
          </a:r>
          <a:r>
            <a:rPr lang="fi-FI" sz="1100" i="1" baseline="0"/>
            <a:t>Etusivulle</a:t>
          </a:r>
          <a:r>
            <a:rPr lang="fi-FI" sz="1100" baseline="0"/>
            <a:t> omat ja yrityksen tiedot. </a:t>
          </a:r>
          <a:r>
            <a:rPr lang="fi-FI" sz="1100"/>
            <a:t>Aloita sivuilta </a:t>
          </a:r>
          <a:r>
            <a:rPr lang="fi-FI" sz="1100" i="1"/>
            <a:t>Lähtötiedot</a:t>
          </a:r>
          <a:r>
            <a:rPr lang="fi-FI" sz="1100"/>
            <a:t> ja </a:t>
          </a:r>
          <a:r>
            <a:rPr lang="fi-FI" sz="1100" i="1"/>
            <a:t>tuotantokustannuslaskelmat</a:t>
          </a:r>
          <a:r>
            <a:rPr lang="fi-FI" sz="1100"/>
            <a:t>. Etene sisällysluettelon mukaisessa järjestyksessä. </a:t>
          </a:r>
        </a:p>
        <a:p>
          <a:endParaRPr lang="fi-FI" sz="1100"/>
        </a:p>
        <a:p>
          <a:r>
            <a:rPr lang="fi-FI" sz="1100"/>
            <a:t>Laske säilörehun ja kotieläintuotannon päätuotteen tuotantokustannus sekä vertaile laskelmia muihin tiloihin.</a:t>
          </a:r>
        </a:p>
        <a:p>
          <a:endParaRPr lang="fi-FI" sz="1100"/>
        </a:p>
        <a:p>
          <a:r>
            <a:rPr lang="fi-FI" sz="1100"/>
            <a:t>Testaa laskelmia eli selvitä minkälaisilla muutoksilla tuotantoon on eniten vaikutusta tuotantokustannukseen. </a:t>
          </a:r>
        </a:p>
        <a:p>
          <a:r>
            <a:rPr lang="fi-FI" sz="1100"/>
            <a:t>Laadi toimintasuunnitelma tuotannon kehittämiseen. Vertaa myöhemmin kuinka toteutus onnistui.</a:t>
          </a:r>
        </a:p>
        <a:p>
          <a:endParaRPr lang="fi-FI" sz="1100"/>
        </a:p>
        <a:p>
          <a:r>
            <a:rPr lang="fi-FI" sz="1100"/>
            <a:t>Laadi</a:t>
          </a:r>
          <a:r>
            <a:rPr lang="fi-FI" sz="1100" baseline="0"/>
            <a:t> tarvittaessa myös </a:t>
          </a:r>
          <a:r>
            <a:rPr lang="fi-FI" sz="1100" b="1" baseline="0"/>
            <a:t>€Pelto</a:t>
          </a:r>
          <a:r>
            <a:rPr lang="fi-FI" sz="1100" baseline="0"/>
            <a:t> (</a:t>
          </a:r>
          <a:r>
            <a:rPr lang="fi-FI" sz="1100" b="0" baseline="0"/>
            <a:t>Peltolohkokohtainen tuotantokustannuslaskelma)</a:t>
          </a:r>
          <a:r>
            <a:rPr lang="fi-FI" sz="1100" b="1" baseline="0"/>
            <a:t>,</a:t>
          </a:r>
          <a:r>
            <a:rPr lang="fi-FI" sz="1100" baseline="0"/>
            <a:t> jolla voit tarkastella peltoviljelyn kannattavuutta lohkokohtaisesti ja vertailla esimerkiksi lohkon etäisyyden vaikutusta rehuntuotantokustannukseen.</a:t>
          </a:r>
        </a:p>
        <a:p>
          <a:endParaRPr lang="fi-FI" sz="700" baseline="0"/>
        </a:p>
        <a:p>
          <a:pPr algn="ctr"/>
          <a:r>
            <a:rPr lang="fi-FI" sz="1100" baseline="0"/>
            <a:t>                  Laskelmat ovat ladattavissa:                                                        (avain on €Nurmi tai €Pelto)</a:t>
          </a:r>
          <a:endParaRPr lang="fi-FI" sz="1100"/>
        </a:p>
        <a:p>
          <a:endParaRPr lang="fi-FI" sz="1100"/>
        </a:p>
        <a:p>
          <a:r>
            <a:rPr lang="fi-FI" sz="1100" b="1"/>
            <a:t>Taulukkolaskelmapohjan</a:t>
          </a:r>
          <a:r>
            <a:rPr lang="fi-FI" sz="1100" b="1" baseline="0"/>
            <a:t> käytöstä</a:t>
          </a:r>
        </a:p>
        <a:p>
          <a:endParaRPr lang="fi-FI" sz="1100" baseline="0"/>
        </a:p>
        <a:p>
          <a:r>
            <a:rPr lang="fi-FI" sz="1100" b="1">
              <a:solidFill>
                <a:srgbClr val="0070C0"/>
              </a:solidFill>
              <a:effectLst/>
              <a:latin typeface="+mn-lt"/>
              <a:ea typeface="+mn-ea"/>
              <a:cs typeface="+mn-cs"/>
            </a:rPr>
            <a:t>€</a:t>
          </a:r>
          <a:r>
            <a:rPr lang="fi-FI" sz="1400" b="1">
              <a:solidFill>
                <a:schemeClr val="accent6">
                  <a:lumMod val="50000"/>
                </a:schemeClr>
              </a:solidFill>
              <a:effectLst/>
              <a:latin typeface="+mn-lt"/>
              <a:ea typeface="+mn-ea"/>
              <a:cs typeface="+mn-cs"/>
            </a:rPr>
            <a:t>Nurmi</a:t>
          </a:r>
          <a:r>
            <a:rPr lang="fi-FI" sz="1100" b="1">
              <a:solidFill>
                <a:schemeClr val="dk1"/>
              </a:solidFill>
              <a:effectLst/>
              <a:latin typeface="+mn-lt"/>
              <a:ea typeface="+mn-ea"/>
              <a:cs typeface="+mn-cs"/>
            </a:rPr>
            <a:t> </a:t>
          </a:r>
          <a:r>
            <a:rPr lang="fi-FI" sz="1100" i="1"/>
            <a:t>-laskelman </a:t>
          </a:r>
          <a:r>
            <a:rPr lang="fi-FI" sz="1100"/>
            <a:t>tekemiseen</a:t>
          </a:r>
          <a:r>
            <a:rPr lang="fi-FI" sz="1100" baseline="0"/>
            <a:t> et tarvitse aikaisempaa kokemusta </a:t>
          </a:r>
          <a:r>
            <a:rPr lang="fi-FI" sz="1100"/>
            <a:t>Excel:n käytöstä. Laskelmapohja on suojattu, joten voit </a:t>
          </a:r>
          <a:r>
            <a:rPr lang="fi-FI" sz="1100">
              <a:solidFill>
                <a:schemeClr val="dk1"/>
              </a:solidFill>
              <a:effectLst/>
              <a:latin typeface="+mn-lt"/>
              <a:ea typeface="+mn-ea"/>
              <a:cs typeface="+mn-cs"/>
            </a:rPr>
            <a:t>käyttää </a:t>
          </a:r>
          <a:r>
            <a:rPr lang="fi-FI" sz="1100"/>
            <a:t>sitä turvallisesti (katso käyttöohjeet laskentapohjan suojauksista). Laskentapohjaan on tehty valmiiksi kaavat,</a:t>
          </a:r>
          <a:r>
            <a:rPr lang="fi-FI" sz="1100" baseline="0"/>
            <a:t> joten laskelma valmistuu sitä mukaan, kun kirjaat siihen lähtötietoja. </a:t>
          </a:r>
          <a:r>
            <a:rPr lang="fi-FI" sz="1100"/>
            <a:t> </a:t>
          </a:r>
        </a:p>
        <a:p>
          <a:endParaRPr lang="fi-FI" sz="1100" b="1"/>
        </a:p>
        <a:p>
          <a:r>
            <a:rPr lang="fi-FI" sz="1100" b="1"/>
            <a:t>Lisää ohjeita </a:t>
          </a:r>
          <a:r>
            <a:rPr lang="fi-FI" sz="1100"/>
            <a:t>löydät,</a:t>
          </a:r>
          <a:r>
            <a:rPr lang="fi-FI" sz="1100" baseline="0"/>
            <a:t> kun laskelmasivuilla viet hiiren osoittimen soluun, jossa on </a:t>
          </a:r>
          <a:r>
            <a:rPr lang="fi-FI" sz="1100" baseline="0">
              <a:solidFill>
                <a:srgbClr val="FF0000"/>
              </a:solidFill>
            </a:rPr>
            <a:t>punainen </a:t>
          </a:r>
          <a:r>
            <a:rPr lang="fi-FI" sz="1100" baseline="0"/>
            <a:t>yläkulma.</a:t>
          </a:r>
          <a:endParaRPr lang="fi-FI" sz="1100"/>
        </a:p>
      </xdr:txBody>
    </xdr:sp>
    <xdr:clientData/>
  </xdr:twoCellAnchor>
  <xdr:twoCellAnchor editAs="oneCell">
    <xdr:from>
      <xdr:col>1</xdr:col>
      <xdr:colOff>0</xdr:colOff>
      <xdr:row>0</xdr:row>
      <xdr:rowOff>0</xdr:rowOff>
    </xdr:from>
    <xdr:to>
      <xdr:col>2</xdr:col>
      <xdr:colOff>514350</xdr:colOff>
      <xdr:row>0</xdr:row>
      <xdr:rowOff>339138</xdr:rowOff>
    </xdr:to>
    <xdr:pic>
      <xdr:nvPicPr>
        <xdr:cNvPr id="5" name="Kuva 4">
          <a:extLst>
            <a:ext uri="{FF2B5EF4-FFF2-40B4-BE49-F238E27FC236}">
              <a16:creationId xmlns:a16="http://schemas.microsoft.com/office/drawing/2014/main" id="{00000000-0008-0000-0100-000005000000}"/>
            </a:ext>
          </a:extLst>
        </xdr:cNvPr>
        <xdr:cNvPicPr>
          <a:picLocks noChangeAspect="1"/>
        </xdr:cNvPicPr>
      </xdr:nvPicPr>
      <xdr:blipFill rotWithShape="1">
        <a:blip xmlns:r="http://schemas.openxmlformats.org/officeDocument/2006/relationships" r:embed="rId1"/>
        <a:srcRect l="4914" t="19635" r="9124" b="32923"/>
        <a:stretch/>
      </xdr:blipFill>
      <xdr:spPr>
        <a:xfrm>
          <a:off x="180975" y="0"/>
          <a:ext cx="1123950" cy="339138"/>
        </a:xfrm>
        <a:prstGeom prst="rect">
          <a:avLst/>
        </a:prstGeom>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pic>
    <xdr:clientData/>
  </xdr:twoCellAnchor>
  <xdr:twoCellAnchor>
    <xdr:from>
      <xdr:col>17</xdr:col>
      <xdr:colOff>600076</xdr:colOff>
      <xdr:row>26</xdr:row>
      <xdr:rowOff>66675</xdr:rowOff>
    </xdr:from>
    <xdr:to>
      <xdr:col>20</xdr:col>
      <xdr:colOff>295276</xdr:colOff>
      <xdr:row>27</xdr:row>
      <xdr:rowOff>161925</xdr:rowOff>
    </xdr:to>
    <xdr:sp macro="" textlink="">
      <xdr:nvSpPr>
        <xdr:cNvPr id="4" name="Tekstiruutu 3">
          <a:hlinkClick xmlns:r="http://schemas.openxmlformats.org/officeDocument/2006/relationships" r:id="rId2"/>
          <a:extLst>
            <a:ext uri="{FF2B5EF4-FFF2-40B4-BE49-F238E27FC236}">
              <a16:creationId xmlns:a16="http://schemas.microsoft.com/office/drawing/2014/main" id="{00000000-0008-0000-0100-000004000000}"/>
            </a:ext>
          </a:extLst>
        </xdr:cNvPr>
        <xdr:cNvSpPr txBox="1"/>
      </xdr:nvSpPr>
      <xdr:spPr>
        <a:xfrm>
          <a:off x="10534651" y="5162550"/>
          <a:ext cx="1524000" cy="2857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fi-FI" sz="1100" b="0" u="sng" baseline="0">
              <a:solidFill>
                <a:srgbClr val="0070C0"/>
              </a:solidFill>
              <a:effectLst/>
              <a:latin typeface="+mn-lt"/>
              <a:ea typeface="+mn-ea"/>
              <a:cs typeface="+mn-cs"/>
            </a:rPr>
            <a:t>openedu.savonia.fi</a:t>
          </a:r>
          <a:endParaRPr lang="fi-FI" sz="1100" u="sng">
            <a:solidFill>
              <a:srgbClr val="0070C0"/>
            </a:solidFill>
          </a:endParaRP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0</xdr:col>
      <xdr:colOff>161926</xdr:colOff>
      <xdr:row>19</xdr:row>
      <xdr:rowOff>28575</xdr:rowOff>
    </xdr:from>
    <xdr:to>
      <xdr:col>11</xdr:col>
      <xdr:colOff>9525</xdr:colOff>
      <xdr:row>25</xdr:row>
      <xdr:rowOff>47625</xdr:rowOff>
    </xdr:to>
    <xdr:sp macro="" textlink="" fLocksText="0">
      <xdr:nvSpPr>
        <xdr:cNvPr id="2" name="Tekstiruutu 1">
          <a:extLst>
            <a:ext uri="{FF2B5EF4-FFF2-40B4-BE49-F238E27FC236}">
              <a16:creationId xmlns:a16="http://schemas.microsoft.com/office/drawing/2014/main" id="{00000000-0008-0000-1300-000002000000}"/>
            </a:ext>
          </a:extLst>
        </xdr:cNvPr>
        <xdr:cNvSpPr txBox="1"/>
      </xdr:nvSpPr>
      <xdr:spPr>
        <a:xfrm>
          <a:off x="161926" y="4476750"/>
          <a:ext cx="5838824" cy="1162050"/>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100"/>
            <a:t>Esimerkissä on määritetty lihasonnin kasvatusajan energian tarve, kun sonnien keskimääräinen kasvatusaika on 18 kk eli 540 vuorokautta. Kasvu lasketaan teuras</a:t>
          </a:r>
          <a:r>
            <a:rPr lang="fi-FI" sz="1100" baseline="0"/>
            <a:t>sonnin (700 kg) ja välitysvasikkaikäisen sonnivasikan (100 kg) elopainojen erotuksesta. Rotuvähennys on 10 %, koska sonnit ovat risteytyksiä ja liharotuisia. Koska sonnit ovat vapaana karsinassa, niin kytkentävähennystä ei tule. Esimerkissä lihasonnien kasvatusajan energiatarve on noin 50 600 MJ ME.</a:t>
          </a:r>
          <a:endParaRPr lang="fi-FI" sz="1100"/>
        </a:p>
      </xdr:txBody>
    </xdr:sp>
    <xdr:clientData fLocksWithSheet="0"/>
  </xdr:twoCellAnchor>
  <xdr:twoCellAnchor>
    <xdr:from>
      <xdr:col>6</xdr:col>
      <xdr:colOff>0</xdr:colOff>
      <xdr:row>5</xdr:row>
      <xdr:rowOff>19050</xdr:rowOff>
    </xdr:from>
    <xdr:to>
      <xdr:col>10</xdr:col>
      <xdr:colOff>561974</xdr:colOff>
      <xdr:row>8</xdr:row>
      <xdr:rowOff>161925</xdr:rowOff>
    </xdr:to>
    <xdr:sp macro="" textlink="">
      <xdr:nvSpPr>
        <xdr:cNvPr id="3" name="Tekstiruutu 2">
          <a:extLst>
            <a:ext uri="{FF2B5EF4-FFF2-40B4-BE49-F238E27FC236}">
              <a16:creationId xmlns:a16="http://schemas.microsoft.com/office/drawing/2014/main" id="{00000000-0008-0000-1300-000003000000}"/>
            </a:ext>
          </a:extLst>
        </xdr:cNvPr>
        <xdr:cNvSpPr txBox="1"/>
      </xdr:nvSpPr>
      <xdr:spPr>
        <a:xfrm>
          <a:off x="3086100" y="1447800"/>
          <a:ext cx="2886074" cy="685800"/>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950"/>
            <a:t>Ohje: Merkitse keltaisiin kenttiin lihasonnien välitysvasikkaiän</a:t>
          </a:r>
          <a:r>
            <a:rPr lang="fi-FI" sz="950" baseline="0"/>
            <a:t> ja teurassonnin keskimääräiset elopainot sekä kasvatusaika. Merkitse tarvittaessa liha- ja risteytysrotu- sekä kytkettynä alennukset.</a:t>
          </a:r>
          <a:endParaRPr lang="fi-FI" sz="950"/>
        </a:p>
      </xdr:txBody>
    </xdr:sp>
    <xdr:clientData/>
  </xdr:twoCellAnchor>
  <xdr:twoCellAnchor>
    <xdr:from>
      <xdr:col>11</xdr:col>
      <xdr:colOff>190500</xdr:colOff>
      <xdr:row>12</xdr:row>
      <xdr:rowOff>476250</xdr:rowOff>
    </xdr:from>
    <xdr:to>
      <xdr:col>16</xdr:col>
      <xdr:colOff>0</xdr:colOff>
      <xdr:row>25</xdr:row>
      <xdr:rowOff>38100</xdr:rowOff>
    </xdr:to>
    <xdr:sp macro="" textlink="" fLocksText="0">
      <xdr:nvSpPr>
        <xdr:cNvPr id="4" name="Tekstiruutu 3">
          <a:hlinkClick xmlns:r="http://schemas.openxmlformats.org/officeDocument/2006/relationships" r:id="rId1"/>
          <a:extLst>
            <a:ext uri="{FF2B5EF4-FFF2-40B4-BE49-F238E27FC236}">
              <a16:creationId xmlns:a16="http://schemas.microsoft.com/office/drawing/2014/main" id="{00000000-0008-0000-1300-000004000000}"/>
            </a:ext>
          </a:extLst>
        </xdr:cNvPr>
        <xdr:cNvSpPr txBox="1"/>
      </xdr:nvSpPr>
      <xdr:spPr>
        <a:xfrm>
          <a:off x="6181725" y="3324225"/>
          <a:ext cx="2743200" cy="2352675"/>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050"/>
            <a:t>Suositukset on maitorotuisille eläimille. Liharotuisten ja risteytyseläinten energiantarve on noin 10 % pienempi. Suositukset on esitetty vapaana karsinassa kasvaville eläimille.</a:t>
          </a:r>
        </a:p>
        <a:p>
          <a:endParaRPr lang="fi-FI" sz="1050"/>
        </a:p>
        <a:p>
          <a:r>
            <a:rPr lang="fi-FI" sz="1050"/>
            <a:t>Kytkettyjen eläinten energiantarve on noin 10 % pienempi. Kasvu viittaa ilmoitetulla painovälillä tapahtuvaan kasvuun eikä koko kasvatusajan keskimääräiseen kasvuun.</a:t>
          </a:r>
        </a:p>
        <a:p>
          <a:endParaRPr lang="fi-FI" sz="1050"/>
        </a:p>
        <a:p>
          <a:r>
            <a:rPr lang="fi-FI" sz="1050"/>
            <a:t>                                                                                                                                                                 </a:t>
          </a:r>
          <a:r>
            <a:rPr lang="fi-FI" sz="1050" u="sng">
              <a:solidFill>
                <a:srgbClr val="0070C0"/>
              </a:solidFill>
            </a:rPr>
            <a:t>Luke.fi/rehutaulukot</a:t>
          </a:r>
        </a:p>
      </xdr:txBody>
    </xdr:sp>
    <xdr:clientData fLocksWithSheet="0"/>
  </xdr:twoCellAnchor>
  <xdr:twoCellAnchor>
    <xdr:from>
      <xdr:col>21</xdr:col>
      <xdr:colOff>238124</xdr:colOff>
      <xdr:row>46</xdr:row>
      <xdr:rowOff>0</xdr:rowOff>
    </xdr:from>
    <xdr:to>
      <xdr:col>22</xdr:col>
      <xdr:colOff>457200</xdr:colOff>
      <xdr:row>49</xdr:row>
      <xdr:rowOff>161925</xdr:rowOff>
    </xdr:to>
    <xdr:sp macro="" textlink="">
      <xdr:nvSpPr>
        <xdr:cNvPr id="5" name="Pyöristetty suorakulmio 4" descr="Klikkaa tästä!" title="Siirry alkuun">
          <a:hlinkClick xmlns:r="http://schemas.openxmlformats.org/officeDocument/2006/relationships" r:id="rId2"/>
          <a:extLst>
            <a:ext uri="{FF2B5EF4-FFF2-40B4-BE49-F238E27FC236}">
              <a16:creationId xmlns:a16="http://schemas.microsoft.com/office/drawing/2014/main" id="{00000000-0008-0000-1300-000005000000}"/>
            </a:ext>
          </a:extLst>
        </xdr:cNvPr>
        <xdr:cNvSpPr/>
      </xdr:nvSpPr>
      <xdr:spPr>
        <a:xfrm>
          <a:off x="9296399" y="15516225"/>
          <a:ext cx="828676" cy="733425"/>
        </a:xfrm>
        <a:prstGeom prst="roundRect">
          <a:avLst/>
        </a:prstGeom>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fi-FI" sz="1600"/>
            <a:t>Siirry alkuun</a:t>
          </a:r>
        </a:p>
      </xdr:txBody>
    </xdr:sp>
    <xdr:clientData/>
  </xdr:twoCellAnchor>
  <xdr:twoCellAnchor>
    <xdr:from>
      <xdr:col>18</xdr:col>
      <xdr:colOff>257175</xdr:colOff>
      <xdr:row>46</xdr:row>
      <xdr:rowOff>0</xdr:rowOff>
    </xdr:from>
    <xdr:to>
      <xdr:col>21</xdr:col>
      <xdr:colOff>66675</xdr:colOff>
      <xdr:row>49</xdr:row>
      <xdr:rowOff>161925</xdr:rowOff>
    </xdr:to>
    <xdr:sp macro="" textlink="">
      <xdr:nvSpPr>
        <xdr:cNvPr id="6" name="Pyöristetty suorakulmio 5" descr="Klikkaa tästä!" title="Siirry alkuun">
          <a:hlinkClick xmlns:r="http://schemas.openxmlformats.org/officeDocument/2006/relationships" r:id="rId3"/>
          <a:extLst>
            <a:ext uri="{FF2B5EF4-FFF2-40B4-BE49-F238E27FC236}">
              <a16:creationId xmlns:a16="http://schemas.microsoft.com/office/drawing/2014/main" id="{00000000-0008-0000-1300-000006000000}"/>
            </a:ext>
          </a:extLst>
        </xdr:cNvPr>
        <xdr:cNvSpPr/>
      </xdr:nvSpPr>
      <xdr:spPr>
        <a:xfrm>
          <a:off x="7486650" y="15516225"/>
          <a:ext cx="1638300" cy="733425"/>
        </a:xfrm>
        <a:prstGeom prst="roundRect">
          <a:avLst/>
        </a:prstGeom>
        <a:solidFill>
          <a:srgbClr val="98F20F"/>
        </a:solidFill>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fi-FI" sz="1800"/>
            <a:t>Lähtötiedot</a:t>
          </a:r>
          <a:endParaRPr lang="fi-FI" sz="1400"/>
        </a:p>
      </xdr:txBody>
    </xdr:sp>
    <xdr:clientData/>
  </xdr:twoCellAnchor>
  <xdr:twoCellAnchor editAs="oneCell">
    <xdr:from>
      <xdr:col>1</xdr:col>
      <xdr:colOff>0</xdr:colOff>
      <xdr:row>0</xdr:row>
      <xdr:rowOff>0</xdr:rowOff>
    </xdr:from>
    <xdr:to>
      <xdr:col>2</xdr:col>
      <xdr:colOff>542925</xdr:colOff>
      <xdr:row>0</xdr:row>
      <xdr:rowOff>339138</xdr:rowOff>
    </xdr:to>
    <xdr:pic>
      <xdr:nvPicPr>
        <xdr:cNvPr id="7" name="Kuva 6">
          <a:extLst>
            <a:ext uri="{FF2B5EF4-FFF2-40B4-BE49-F238E27FC236}">
              <a16:creationId xmlns:a16="http://schemas.microsoft.com/office/drawing/2014/main" id="{00000000-0008-0000-1300-000007000000}"/>
            </a:ext>
          </a:extLst>
        </xdr:cNvPr>
        <xdr:cNvPicPr>
          <a:picLocks noChangeAspect="1"/>
        </xdr:cNvPicPr>
      </xdr:nvPicPr>
      <xdr:blipFill rotWithShape="1">
        <a:blip xmlns:r="http://schemas.openxmlformats.org/officeDocument/2006/relationships" r:embed="rId4"/>
        <a:srcRect l="4914" t="19635" r="9124" b="32923"/>
        <a:stretch/>
      </xdr:blipFill>
      <xdr:spPr>
        <a:xfrm>
          <a:off x="180975" y="0"/>
          <a:ext cx="1123950" cy="339138"/>
        </a:xfrm>
        <a:prstGeom prst="rect">
          <a:avLst/>
        </a:prstGeom>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pic>
    <xdr:clientData/>
  </xdr:twoCellAnchor>
</xdr:wsDr>
</file>

<file path=xl/drawings/drawing21.xml><?xml version="1.0" encoding="utf-8"?>
<xdr:wsDr xmlns:xdr="http://schemas.openxmlformats.org/drawingml/2006/spreadsheetDrawing" xmlns:a="http://schemas.openxmlformats.org/drawingml/2006/main">
  <xdr:twoCellAnchor>
    <xdr:from>
      <xdr:col>0</xdr:col>
      <xdr:colOff>161926</xdr:colOff>
      <xdr:row>19</xdr:row>
      <xdr:rowOff>28575</xdr:rowOff>
    </xdr:from>
    <xdr:to>
      <xdr:col>11</xdr:col>
      <xdr:colOff>9525</xdr:colOff>
      <xdr:row>24</xdr:row>
      <xdr:rowOff>95250</xdr:rowOff>
    </xdr:to>
    <xdr:sp macro="" textlink="" fLocksText="0">
      <xdr:nvSpPr>
        <xdr:cNvPr id="2" name="Tekstiruutu 1">
          <a:extLst>
            <a:ext uri="{FF2B5EF4-FFF2-40B4-BE49-F238E27FC236}">
              <a16:creationId xmlns:a16="http://schemas.microsoft.com/office/drawing/2014/main" id="{00000000-0008-0000-1400-000002000000}"/>
            </a:ext>
          </a:extLst>
        </xdr:cNvPr>
        <xdr:cNvSpPr txBox="1"/>
      </xdr:nvSpPr>
      <xdr:spPr>
        <a:xfrm>
          <a:off x="161926" y="4524375"/>
          <a:ext cx="5838824" cy="1019175"/>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050"/>
            <a:t>Esimerkissä on määritetty lihahiehon kasvatusajan energian tarve, kun hiehojen keskimääräinen kasvatusaika on 18 kk eli 540 vuorokautta. Kasvu lasketaan teuras</a:t>
          </a:r>
          <a:r>
            <a:rPr lang="fi-FI" sz="1050" baseline="0"/>
            <a:t>hiehon (600 kg) ja välitysvasikkaikäisen hiehovasikan (100 kg) elopainojen erotuksesta. Rotuvähennys on 10 %, koska hiehot ovat risteytyksiä ja liharotuisia. Koska hiehot ovat vapaana karsinassa, niin kytkentävähennystä ei tule. Esimerkissä lihahiehojen kasvatusajan energiatarve on noin 39 000 MJ ME.</a:t>
          </a:r>
          <a:endParaRPr lang="fi-FI" sz="1050"/>
        </a:p>
      </xdr:txBody>
    </xdr:sp>
    <xdr:clientData fLocksWithSheet="0"/>
  </xdr:twoCellAnchor>
  <xdr:twoCellAnchor>
    <xdr:from>
      <xdr:col>6</xdr:col>
      <xdr:colOff>0</xdr:colOff>
      <xdr:row>5</xdr:row>
      <xdr:rowOff>19050</xdr:rowOff>
    </xdr:from>
    <xdr:to>
      <xdr:col>10</xdr:col>
      <xdr:colOff>561974</xdr:colOff>
      <xdr:row>8</xdr:row>
      <xdr:rowOff>161925</xdr:rowOff>
    </xdr:to>
    <xdr:sp macro="" textlink="">
      <xdr:nvSpPr>
        <xdr:cNvPr id="3" name="Tekstiruutu 2">
          <a:extLst>
            <a:ext uri="{FF2B5EF4-FFF2-40B4-BE49-F238E27FC236}">
              <a16:creationId xmlns:a16="http://schemas.microsoft.com/office/drawing/2014/main" id="{00000000-0008-0000-1400-000003000000}"/>
            </a:ext>
          </a:extLst>
        </xdr:cNvPr>
        <xdr:cNvSpPr txBox="1"/>
      </xdr:nvSpPr>
      <xdr:spPr>
        <a:xfrm>
          <a:off x="3086100" y="1447800"/>
          <a:ext cx="2886074" cy="685800"/>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950"/>
            <a:t>Ohje: Merkitse keltaisiin kenttiin lihahiehojen välitysvasikkaiän</a:t>
          </a:r>
          <a:r>
            <a:rPr lang="fi-FI" sz="950" baseline="0"/>
            <a:t> ja teurashiehon keskimääräiset elopainot sekä kasvatusaika. Merkitse tarvittaessa liha- ja risteytysrotu- sekä kytkettynä alennukset.</a:t>
          </a:r>
          <a:endParaRPr lang="fi-FI" sz="950"/>
        </a:p>
      </xdr:txBody>
    </xdr:sp>
    <xdr:clientData/>
  </xdr:twoCellAnchor>
  <xdr:twoCellAnchor>
    <xdr:from>
      <xdr:col>11</xdr:col>
      <xdr:colOff>114301</xdr:colOff>
      <xdr:row>11</xdr:row>
      <xdr:rowOff>76199</xdr:rowOff>
    </xdr:from>
    <xdr:to>
      <xdr:col>16</xdr:col>
      <xdr:colOff>114301</xdr:colOff>
      <xdr:row>24</xdr:row>
      <xdr:rowOff>104775</xdr:rowOff>
    </xdr:to>
    <xdr:sp macro="" textlink="" fLocksText="0">
      <xdr:nvSpPr>
        <xdr:cNvPr id="4" name="Tekstiruutu 3">
          <a:hlinkClick xmlns:r="http://schemas.openxmlformats.org/officeDocument/2006/relationships" r:id="rId1"/>
          <a:extLst>
            <a:ext uri="{FF2B5EF4-FFF2-40B4-BE49-F238E27FC236}">
              <a16:creationId xmlns:a16="http://schemas.microsoft.com/office/drawing/2014/main" id="{00000000-0008-0000-1400-000004000000}"/>
            </a:ext>
          </a:extLst>
        </xdr:cNvPr>
        <xdr:cNvSpPr txBox="1"/>
      </xdr:nvSpPr>
      <xdr:spPr>
        <a:xfrm>
          <a:off x="6105526" y="2638424"/>
          <a:ext cx="2990850" cy="2914651"/>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000"/>
            <a:t>Suositukset on maitorotuisille eläimille. Liharotuisten ja risteytyseläinten energiantarve on noin 10 % pienempi. Suositukset on vapaana karsinassa kasvaville eläimille. Kytkettyjen eläinten energiantarve on noin 10 % pienempi. Kasvu viittaa ilmoitetulla painovälillä tapahtuvaan kasvuun eikä koko kasvatusajan keskimääräiseen kasvuun.</a:t>
          </a:r>
        </a:p>
        <a:p>
          <a:endParaRPr lang="fi-FI" sz="1000"/>
        </a:p>
        <a:p>
          <a:r>
            <a:rPr lang="fi-FI" sz="1000"/>
            <a:t>Uudistukseen kasvatettavien hiehojen suositeltava lisäkasvutavoite utareen maidontuotantokyvyn kehityksen kannalta ennen sukukypsyyden saavuttamista on ay-rotuisille hiehoille noin 600 - 700 g/pv, holsteinrotuisille noin 650 - 700 g/pv, suomenkarjalle noin 500 - 650 g/pv ja liharotuisille uudistushiehoille 600 - 800 g/pv (alaraja keskikokoisille ja yläraja isoille roduille).</a:t>
          </a:r>
        </a:p>
        <a:p>
          <a:endParaRPr lang="fi-FI" sz="1000" u="sng">
            <a:solidFill>
              <a:srgbClr val="0070C0"/>
            </a:solidFill>
          </a:endParaRPr>
        </a:p>
        <a:p>
          <a:r>
            <a:rPr lang="fi-FI" sz="1000" u="sng">
              <a:solidFill>
                <a:srgbClr val="0070C0"/>
              </a:solidFill>
            </a:rPr>
            <a:t>Luke.fi/rehutaulukot</a:t>
          </a:r>
        </a:p>
      </xdr:txBody>
    </xdr:sp>
    <xdr:clientData fLocksWithSheet="0"/>
  </xdr:twoCellAnchor>
  <xdr:twoCellAnchor>
    <xdr:from>
      <xdr:col>18</xdr:col>
      <xdr:colOff>238124</xdr:colOff>
      <xdr:row>38</xdr:row>
      <xdr:rowOff>0</xdr:rowOff>
    </xdr:from>
    <xdr:to>
      <xdr:col>19</xdr:col>
      <xdr:colOff>457200</xdr:colOff>
      <xdr:row>41</xdr:row>
      <xdr:rowOff>161925</xdr:rowOff>
    </xdr:to>
    <xdr:sp macro="" textlink="">
      <xdr:nvSpPr>
        <xdr:cNvPr id="5" name="Pyöristetty suorakulmio 4" descr="Klikkaa tästä!" title="Siirry alkuun">
          <a:hlinkClick xmlns:r="http://schemas.openxmlformats.org/officeDocument/2006/relationships" r:id="rId2"/>
          <a:extLst>
            <a:ext uri="{FF2B5EF4-FFF2-40B4-BE49-F238E27FC236}">
              <a16:creationId xmlns:a16="http://schemas.microsoft.com/office/drawing/2014/main" id="{00000000-0008-0000-1400-000005000000}"/>
            </a:ext>
          </a:extLst>
        </xdr:cNvPr>
        <xdr:cNvSpPr/>
      </xdr:nvSpPr>
      <xdr:spPr>
        <a:xfrm>
          <a:off x="11353799" y="11630025"/>
          <a:ext cx="828676" cy="733425"/>
        </a:xfrm>
        <a:prstGeom prst="roundRect">
          <a:avLst/>
        </a:prstGeom>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fi-FI" sz="1600"/>
            <a:t>Siirry alkuun</a:t>
          </a:r>
        </a:p>
      </xdr:txBody>
    </xdr:sp>
    <xdr:clientData/>
  </xdr:twoCellAnchor>
  <xdr:twoCellAnchor>
    <xdr:from>
      <xdr:col>15</xdr:col>
      <xdr:colOff>200025</xdr:colOff>
      <xdr:row>38</xdr:row>
      <xdr:rowOff>0</xdr:rowOff>
    </xdr:from>
    <xdr:to>
      <xdr:col>18</xdr:col>
      <xdr:colOff>66675</xdr:colOff>
      <xdr:row>41</xdr:row>
      <xdr:rowOff>161925</xdr:rowOff>
    </xdr:to>
    <xdr:sp macro="" textlink="">
      <xdr:nvSpPr>
        <xdr:cNvPr id="6" name="Pyöristetty suorakulmio 5" descr="Klikkaa tästä!" title="Siirry alkuun">
          <a:hlinkClick xmlns:r="http://schemas.openxmlformats.org/officeDocument/2006/relationships" r:id="rId3"/>
          <a:extLst>
            <a:ext uri="{FF2B5EF4-FFF2-40B4-BE49-F238E27FC236}">
              <a16:creationId xmlns:a16="http://schemas.microsoft.com/office/drawing/2014/main" id="{00000000-0008-0000-1400-000006000000}"/>
            </a:ext>
          </a:extLst>
        </xdr:cNvPr>
        <xdr:cNvSpPr/>
      </xdr:nvSpPr>
      <xdr:spPr>
        <a:xfrm>
          <a:off x="8572500" y="8229600"/>
          <a:ext cx="838200" cy="733425"/>
        </a:xfrm>
        <a:prstGeom prst="roundRect">
          <a:avLst/>
        </a:prstGeom>
        <a:solidFill>
          <a:srgbClr val="98F20F"/>
        </a:solidFill>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fi-FI" sz="1800"/>
            <a:t>Lähtötiedot</a:t>
          </a:r>
          <a:endParaRPr lang="fi-FI" sz="1400"/>
        </a:p>
      </xdr:txBody>
    </xdr:sp>
    <xdr:clientData/>
  </xdr:twoCellAnchor>
  <xdr:twoCellAnchor editAs="oneCell">
    <xdr:from>
      <xdr:col>1</xdr:col>
      <xdr:colOff>0</xdr:colOff>
      <xdr:row>0</xdr:row>
      <xdr:rowOff>0</xdr:rowOff>
    </xdr:from>
    <xdr:to>
      <xdr:col>2</xdr:col>
      <xdr:colOff>542925</xdr:colOff>
      <xdr:row>0</xdr:row>
      <xdr:rowOff>339138</xdr:rowOff>
    </xdr:to>
    <xdr:pic>
      <xdr:nvPicPr>
        <xdr:cNvPr id="7" name="Kuva 6">
          <a:extLst>
            <a:ext uri="{FF2B5EF4-FFF2-40B4-BE49-F238E27FC236}">
              <a16:creationId xmlns:a16="http://schemas.microsoft.com/office/drawing/2014/main" id="{00000000-0008-0000-1400-000007000000}"/>
            </a:ext>
          </a:extLst>
        </xdr:cNvPr>
        <xdr:cNvPicPr>
          <a:picLocks noChangeAspect="1"/>
        </xdr:cNvPicPr>
      </xdr:nvPicPr>
      <xdr:blipFill rotWithShape="1">
        <a:blip xmlns:r="http://schemas.openxmlformats.org/officeDocument/2006/relationships" r:embed="rId4"/>
        <a:srcRect l="4914" t="19635" r="9124" b="32923"/>
        <a:stretch/>
      </xdr:blipFill>
      <xdr:spPr>
        <a:xfrm>
          <a:off x="180975" y="0"/>
          <a:ext cx="1123950" cy="339138"/>
        </a:xfrm>
        <a:prstGeom prst="rect">
          <a:avLst/>
        </a:prstGeom>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542925</xdr:colOff>
      <xdr:row>0</xdr:row>
      <xdr:rowOff>339138</xdr:rowOff>
    </xdr:to>
    <xdr:pic>
      <xdr:nvPicPr>
        <xdr:cNvPr id="3" name="Kuva 2">
          <a:extLst>
            <a:ext uri="{FF2B5EF4-FFF2-40B4-BE49-F238E27FC236}">
              <a16:creationId xmlns:a16="http://schemas.microsoft.com/office/drawing/2014/main" id="{00000000-0008-0000-1500-000003000000}"/>
            </a:ext>
          </a:extLst>
        </xdr:cNvPr>
        <xdr:cNvPicPr>
          <a:picLocks noChangeAspect="1"/>
        </xdr:cNvPicPr>
      </xdr:nvPicPr>
      <xdr:blipFill rotWithShape="1">
        <a:blip xmlns:r="http://schemas.openxmlformats.org/officeDocument/2006/relationships" r:embed="rId1"/>
        <a:srcRect l="4914" t="19635" r="9124" b="32923"/>
        <a:stretch/>
      </xdr:blipFill>
      <xdr:spPr>
        <a:xfrm>
          <a:off x="180975" y="0"/>
          <a:ext cx="1123950" cy="339138"/>
        </a:xfrm>
        <a:prstGeom prst="rect">
          <a:avLst/>
        </a:prstGeom>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pic>
    <xdr:clientData/>
  </xdr:twoCellAnchor>
  <xdr:twoCellAnchor>
    <xdr:from>
      <xdr:col>6</xdr:col>
      <xdr:colOff>0</xdr:colOff>
      <xdr:row>5</xdr:row>
      <xdr:rowOff>19050</xdr:rowOff>
    </xdr:from>
    <xdr:to>
      <xdr:col>10</xdr:col>
      <xdr:colOff>561974</xdr:colOff>
      <xdr:row>8</xdr:row>
      <xdr:rowOff>161925</xdr:rowOff>
    </xdr:to>
    <xdr:sp macro="" textlink="">
      <xdr:nvSpPr>
        <xdr:cNvPr id="4" name="Tekstiruutu 3">
          <a:extLst>
            <a:ext uri="{FF2B5EF4-FFF2-40B4-BE49-F238E27FC236}">
              <a16:creationId xmlns:a16="http://schemas.microsoft.com/office/drawing/2014/main" id="{00000000-0008-0000-1500-000004000000}"/>
            </a:ext>
          </a:extLst>
        </xdr:cNvPr>
        <xdr:cNvSpPr txBox="1"/>
      </xdr:nvSpPr>
      <xdr:spPr>
        <a:xfrm>
          <a:off x="3086100" y="1495425"/>
          <a:ext cx="2886074" cy="685800"/>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950"/>
            <a:t>Ohje: Määritä siitossonnin energiantarve (MJ/pv ja MJ/vuosi) ja rehun kuiva-aineen syönti (kg ka/pv) elopainon perusteella.</a:t>
          </a:r>
        </a:p>
      </xdr:txBody>
    </xdr:sp>
    <xdr:clientData/>
  </xdr:twoCellAnchor>
  <xdr:twoCellAnchor>
    <xdr:from>
      <xdr:col>22</xdr:col>
      <xdr:colOff>238124</xdr:colOff>
      <xdr:row>30</xdr:row>
      <xdr:rowOff>0</xdr:rowOff>
    </xdr:from>
    <xdr:to>
      <xdr:col>23</xdr:col>
      <xdr:colOff>457200</xdr:colOff>
      <xdr:row>33</xdr:row>
      <xdr:rowOff>161925</xdr:rowOff>
    </xdr:to>
    <xdr:sp macro="" textlink="">
      <xdr:nvSpPr>
        <xdr:cNvPr id="6" name="Pyöristetty suorakulmio 5" descr="Klikkaa tästä!" title="Siirry alkuun">
          <a:hlinkClick xmlns:r="http://schemas.openxmlformats.org/officeDocument/2006/relationships" r:id="rId2"/>
          <a:extLst>
            <a:ext uri="{FF2B5EF4-FFF2-40B4-BE49-F238E27FC236}">
              <a16:creationId xmlns:a16="http://schemas.microsoft.com/office/drawing/2014/main" id="{00000000-0008-0000-1500-000006000000}"/>
            </a:ext>
          </a:extLst>
        </xdr:cNvPr>
        <xdr:cNvSpPr/>
      </xdr:nvSpPr>
      <xdr:spPr>
        <a:xfrm>
          <a:off x="11058524" y="9753600"/>
          <a:ext cx="828676" cy="733425"/>
        </a:xfrm>
        <a:prstGeom prst="roundRect">
          <a:avLst/>
        </a:prstGeom>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fi-FI" sz="1600"/>
            <a:t>Siirry alkuun</a:t>
          </a:r>
        </a:p>
      </xdr:txBody>
    </xdr:sp>
    <xdr:clientData/>
  </xdr:twoCellAnchor>
  <xdr:twoCellAnchor>
    <xdr:from>
      <xdr:col>19</xdr:col>
      <xdr:colOff>257175</xdr:colOff>
      <xdr:row>30</xdr:row>
      <xdr:rowOff>0</xdr:rowOff>
    </xdr:from>
    <xdr:to>
      <xdr:col>22</xdr:col>
      <xdr:colOff>66675</xdr:colOff>
      <xdr:row>33</xdr:row>
      <xdr:rowOff>161925</xdr:rowOff>
    </xdr:to>
    <xdr:sp macro="" textlink="">
      <xdr:nvSpPr>
        <xdr:cNvPr id="7" name="Pyöristetty suorakulmio 6" descr="Klikkaa tästä!" title="Siirry alkuun">
          <a:hlinkClick xmlns:r="http://schemas.openxmlformats.org/officeDocument/2006/relationships" r:id="rId3"/>
          <a:extLst>
            <a:ext uri="{FF2B5EF4-FFF2-40B4-BE49-F238E27FC236}">
              <a16:creationId xmlns:a16="http://schemas.microsoft.com/office/drawing/2014/main" id="{00000000-0008-0000-1500-000007000000}"/>
            </a:ext>
          </a:extLst>
        </xdr:cNvPr>
        <xdr:cNvSpPr/>
      </xdr:nvSpPr>
      <xdr:spPr>
        <a:xfrm>
          <a:off x="9544050" y="9753600"/>
          <a:ext cx="1343025" cy="733425"/>
        </a:xfrm>
        <a:prstGeom prst="roundRect">
          <a:avLst/>
        </a:prstGeom>
        <a:solidFill>
          <a:srgbClr val="98F20F"/>
        </a:solidFill>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fi-FI" sz="1800"/>
            <a:t>Lähtötiedot</a:t>
          </a:r>
          <a:endParaRPr lang="fi-FI" sz="140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1131206</xdr:colOff>
      <xdr:row>1</xdr:row>
      <xdr:rowOff>471</xdr:rowOff>
    </xdr:to>
    <xdr:pic>
      <xdr:nvPicPr>
        <xdr:cNvPr id="3" name="Kuva 2">
          <a:extLst>
            <a:ext uri="{FF2B5EF4-FFF2-40B4-BE49-F238E27FC236}">
              <a16:creationId xmlns:a16="http://schemas.microsoft.com/office/drawing/2014/main" id="{00000000-0008-0000-0200-000003000000}"/>
            </a:ext>
          </a:extLst>
        </xdr:cNvPr>
        <xdr:cNvPicPr>
          <a:picLocks noChangeAspect="1"/>
        </xdr:cNvPicPr>
      </xdr:nvPicPr>
      <xdr:blipFill rotWithShape="1">
        <a:blip xmlns:r="http://schemas.openxmlformats.org/officeDocument/2006/relationships" r:embed="rId1"/>
        <a:srcRect l="4914" t="19635" r="9124" b="32923"/>
        <a:stretch/>
      </xdr:blipFill>
      <xdr:spPr>
        <a:xfrm>
          <a:off x="180975" y="0"/>
          <a:ext cx="1123950" cy="339138"/>
        </a:xfrm>
        <a:prstGeom prst="rect">
          <a:avLst/>
        </a:prstGeom>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pic>
    <xdr:clientData/>
  </xdr:twoCellAnchor>
  <xdr:twoCellAnchor>
    <xdr:from>
      <xdr:col>1</xdr:col>
      <xdr:colOff>1219199</xdr:colOff>
      <xdr:row>1</xdr:row>
      <xdr:rowOff>38100</xdr:rowOff>
    </xdr:from>
    <xdr:to>
      <xdr:col>20</xdr:col>
      <xdr:colOff>19050</xdr:colOff>
      <xdr:row>4</xdr:row>
      <xdr:rowOff>161925</xdr:rowOff>
    </xdr:to>
    <xdr:graphicFrame macro="">
      <xdr:nvGraphicFramePr>
        <xdr:cNvPr id="4" name="Kaaviokuva 3">
          <a:extLst>
            <a:ext uri="{FF2B5EF4-FFF2-40B4-BE49-F238E27FC236}">
              <a16:creationId xmlns:a16="http://schemas.microsoft.com/office/drawing/2014/main" id="{00000000-0008-0000-0200-000004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2" r:lo="rId3" r:qs="rId4" r:cs="rId5"/>
        </a:graphicData>
      </a:graphic>
    </xdr:graphicFrame>
    <xdr:clientData/>
  </xdr:twoCellAnchor>
  <xdr:twoCellAnchor>
    <xdr:from>
      <xdr:col>1</xdr:col>
      <xdr:colOff>1219199</xdr:colOff>
      <xdr:row>26</xdr:row>
      <xdr:rowOff>133350</xdr:rowOff>
    </xdr:from>
    <xdr:to>
      <xdr:col>20</xdr:col>
      <xdr:colOff>104775</xdr:colOff>
      <xdr:row>29</xdr:row>
      <xdr:rowOff>66675</xdr:rowOff>
    </xdr:to>
    <xdr:graphicFrame macro="">
      <xdr:nvGraphicFramePr>
        <xdr:cNvPr id="10" name="Kaaviokuva 9">
          <a:extLst>
            <a:ext uri="{FF2B5EF4-FFF2-40B4-BE49-F238E27FC236}">
              <a16:creationId xmlns:a16="http://schemas.microsoft.com/office/drawing/2014/main" id="{00000000-0008-0000-0200-00000A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7" r:lo="rId8" r:qs="rId9" r:cs="rId10"/>
        </a:graphicData>
      </a:graphic>
    </xdr:graphicFrame>
    <xdr:clientData/>
  </xdr:twoCellAnchor>
  <xdr:twoCellAnchor>
    <xdr:from>
      <xdr:col>18</xdr:col>
      <xdr:colOff>1</xdr:colOff>
      <xdr:row>17</xdr:row>
      <xdr:rowOff>28575</xdr:rowOff>
    </xdr:from>
    <xdr:to>
      <xdr:col>25</xdr:col>
      <xdr:colOff>571501</xdr:colOff>
      <xdr:row>25</xdr:row>
      <xdr:rowOff>123825</xdr:rowOff>
    </xdr:to>
    <xdr:sp macro="" textlink="" fLocksText="0">
      <xdr:nvSpPr>
        <xdr:cNvPr id="12" name="Tekstiruutu 11">
          <a:extLst>
            <a:ext uri="{FF2B5EF4-FFF2-40B4-BE49-F238E27FC236}">
              <a16:creationId xmlns:a16="http://schemas.microsoft.com/office/drawing/2014/main" id="{00000000-0008-0000-0200-00000C000000}"/>
            </a:ext>
          </a:extLst>
        </xdr:cNvPr>
        <xdr:cNvSpPr txBox="1"/>
      </xdr:nvSpPr>
      <xdr:spPr>
        <a:xfrm>
          <a:off x="12401551" y="4248150"/>
          <a:ext cx="4838700" cy="1685925"/>
        </a:xfrm>
        <a:prstGeom prst="rect">
          <a:avLst/>
        </a:prstGeom>
        <a:solidFill>
          <a:srgbClr val="FFFF99"/>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fi-FI" sz="1100">
              <a:latin typeface="+mj-lt"/>
            </a:rPr>
            <a:t>Kuvaile millaista tuotantoa tilalla on?</a:t>
          </a:r>
        </a:p>
        <a:p>
          <a:pPr marL="0" marR="0" lvl="0" indent="0" defTabSz="914400" eaLnBrk="1" fontAlgn="auto" latinLnBrk="0" hangingPunct="1">
            <a:lnSpc>
              <a:spcPct val="100000"/>
            </a:lnSpc>
            <a:spcBef>
              <a:spcPts val="0"/>
            </a:spcBef>
            <a:spcAft>
              <a:spcPts val="0"/>
            </a:spcAft>
            <a:buClrTx/>
            <a:buSzTx/>
            <a:buFontTx/>
            <a:buNone/>
            <a:tabLst/>
            <a:defRPr/>
          </a:pPr>
          <a:endParaRPr lang="fi-FI" sz="1100">
            <a:latin typeface="+mj-lt"/>
          </a:endParaRPr>
        </a:p>
      </xdr:txBody>
    </xdr:sp>
    <xdr:clientData/>
  </xdr:twoCellAnchor>
  <xdr:twoCellAnchor>
    <xdr:from>
      <xdr:col>17</xdr:col>
      <xdr:colOff>171450</xdr:colOff>
      <xdr:row>51</xdr:row>
      <xdr:rowOff>1</xdr:rowOff>
    </xdr:from>
    <xdr:to>
      <xdr:col>26</xdr:col>
      <xdr:colOff>0</xdr:colOff>
      <xdr:row>68</xdr:row>
      <xdr:rowOff>0</xdr:rowOff>
    </xdr:to>
    <xdr:sp macro="" textlink="" fLocksText="0">
      <xdr:nvSpPr>
        <xdr:cNvPr id="13" name="Tekstiruutu 12">
          <a:extLst>
            <a:ext uri="{FF2B5EF4-FFF2-40B4-BE49-F238E27FC236}">
              <a16:creationId xmlns:a16="http://schemas.microsoft.com/office/drawing/2014/main" id="{00000000-0008-0000-0200-00000D000000}"/>
            </a:ext>
          </a:extLst>
        </xdr:cNvPr>
        <xdr:cNvSpPr txBox="1"/>
      </xdr:nvSpPr>
      <xdr:spPr>
        <a:xfrm>
          <a:off x="12439650" y="10801351"/>
          <a:ext cx="4933950" cy="3390899"/>
        </a:xfrm>
        <a:prstGeom prst="rect">
          <a:avLst/>
        </a:prstGeom>
        <a:solidFill>
          <a:srgbClr val="FFFF99"/>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fi-FI" sz="1100">
              <a:latin typeface="+mj-lt"/>
            </a:rPr>
            <a:t>Omat muistiinpanot...</a:t>
          </a:r>
        </a:p>
      </xdr:txBody>
    </xdr:sp>
    <xdr:clientData/>
  </xdr:twoCellAnchor>
  <xdr:twoCellAnchor>
    <xdr:from>
      <xdr:col>8</xdr:col>
      <xdr:colOff>180974</xdr:colOff>
      <xdr:row>51</xdr:row>
      <xdr:rowOff>0</xdr:rowOff>
    </xdr:from>
    <xdr:to>
      <xdr:col>16</xdr:col>
      <xdr:colOff>609599</xdr:colOff>
      <xdr:row>67</xdr:row>
      <xdr:rowOff>180975</xdr:rowOff>
    </xdr:to>
    <xdr:sp macro="" textlink="" fLocksText="0">
      <xdr:nvSpPr>
        <xdr:cNvPr id="15" name="Tekstiruutu 14">
          <a:extLst>
            <a:ext uri="{FF2B5EF4-FFF2-40B4-BE49-F238E27FC236}">
              <a16:creationId xmlns:a16="http://schemas.microsoft.com/office/drawing/2014/main" id="{00000000-0008-0000-0200-00000F000000}"/>
            </a:ext>
          </a:extLst>
        </xdr:cNvPr>
        <xdr:cNvSpPr txBox="1"/>
      </xdr:nvSpPr>
      <xdr:spPr>
        <a:xfrm>
          <a:off x="6248399" y="10801350"/>
          <a:ext cx="6019800" cy="3381375"/>
        </a:xfrm>
        <a:prstGeom prst="rect">
          <a:avLst/>
        </a:prstGeom>
        <a:solidFill>
          <a:srgbClr val="FFFF99"/>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fi-FI" sz="800">
              <a:solidFill>
                <a:schemeClr val="dk1"/>
              </a:solidFill>
              <a:effectLst/>
              <a:latin typeface="+mj-lt"/>
              <a:ea typeface="+mn-ea"/>
              <a:cs typeface="+mn-cs"/>
            </a:rPr>
            <a:t>Esimerkkitilamme on lapinlehmiin erikoistunut pieni maitotila Pohjois-Suomessa. Navetassa on 20 lypsävää lehmää. Omista vasikoista saadaan uudistus maidontuotantoon ja loput myydään teuraaksi. Omista lehmävasikoista saadaan uudistuseläimet maidontuotantoon ja ylimääräiset lehmävasikat kasvatetaan tilalla teuraiksi, sonnit menevät välitykseen. Tilalla on toimivat ja hyväkuntoiset rakennukset parin vuosikymmenen takaa, sekä pientilalle välttämätön konekanta: kaksi maltillisen kokoista traktoria, säilörehuntekokoneet ja muokkaus- ja kylvökoneet. Navetassa on käytössä pienkuormain, kiskoruokkija sekä kuivalantakoneet. Lypsy tapahtuu parsissa. Tilatankki on oma ja kooltaan 1000 litraa. </a:t>
          </a:r>
        </a:p>
        <a:p>
          <a:pPr marL="0" marR="0" lvl="0" indent="0" defTabSz="914400" eaLnBrk="1" fontAlgn="auto" latinLnBrk="0" hangingPunct="1">
            <a:lnSpc>
              <a:spcPct val="100000"/>
            </a:lnSpc>
            <a:spcBef>
              <a:spcPts val="0"/>
            </a:spcBef>
            <a:spcAft>
              <a:spcPts val="0"/>
            </a:spcAft>
            <a:buClrTx/>
            <a:buSzTx/>
            <a:buFontTx/>
            <a:buNone/>
            <a:tabLst/>
            <a:defRPr/>
          </a:pPr>
          <a:r>
            <a:rPr lang="fi-FI" sz="800">
              <a:solidFill>
                <a:schemeClr val="dk1"/>
              </a:solidFill>
              <a:effectLst/>
              <a:latin typeface="+mj-lt"/>
              <a:ea typeface="+mn-ea"/>
              <a:cs typeface="+mn-cs"/>
            </a:rPr>
            <a:t>Maidon keskituotos on 6 000 litraa eläintä kohti ja vuodessa tila tuottaa yhteensä 120 000 litraa maitoa. Maidon hyvät rasva- ja valkuaispitoisuudet nostavat tuottajahintaa merkittävästi. Lapinlehmistä saadaan alkuperäisrodun kasvattamiseen liittyvää ympäristökorvausta. Pohjoista tuotantotukea maksetaan tilalle maitolitrojen mukaan. Lisäksi tila on oikeutettu eläinten hyvinvointikorvauksiin. jotka liittyvät nautojen ruokintaan ja hoitoon, vasikoiden pito-olosuhteiden parantamiseen, vähintään 6 kk ikäisten nautojen pito-olosuhteiden parantamiseen, nautojen laidunnukseen laidunkaudella ja jaloitteluun laidunkauden ulkopuolella, sekä sairas-, hoito- ja poikimakarsinoiden järjestämiseen lypsylehmille.</a:t>
          </a:r>
        </a:p>
        <a:p>
          <a:pPr marL="0" marR="0" lvl="0" indent="0" defTabSz="914400" eaLnBrk="1" fontAlgn="auto" latinLnBrk="0" hangingPunct="1">
            <a:lnSpc>
              <a:spcPct val="100000"/>
            </a:lnSpc>
            <a:spcBef>
              <a:spcPts val="0"/>
            </a:spcBef>
            <a:spcAft>
              <a:spcPts val="0"/>
            </a:spcAft>
            <a:buClrTx/>
            <a:buSzTx/>
            <a:buFontTx/>
            <a:buNone/>
            <a:tabLst/>
            <a:defRPr/>
          </a:pPr>
          <a:r>
            <a:rPr lang="fi-FI" sz="800">
              <a:solidFill>
                <a:schemeClr val="dk1"/>
              </a:solidFill>
              <a:effectLst/>
              <a:latin typeface="+mj-lt"/>
              <a:ea typeface="+mn-ea"/>
              <a:cs typeface="+mn-cs"/>
            </a:rPr>
            <a:t>Tilalla on panostettu oman säilörehun tuotantoon. Jotta tila saataisiin lapinlehmän vuosituotostasolla kannattamaan, ei kalliita ostorehuja voida käyttää. Kannattavuuden keskiössä on tilan oma laadukas säilörehu. Ostorehuja hankitaan lähes pelkästään vasikoiden juottoa varten. Kivennäisiä ostetaan jonkin verran täydentämään säilörehun kivennäisiä. Navettaan hankitaan kuivikkeita, kuten turvetta ja kutteria, ja poikimiskarsinoissa käytetään myös itse tuotettua heinää. Lannoitteiden hankinta on välttämätöntä, jotta viljelyala saadaan tuottamaan tarpeeksi satoa ja rehun ravintoarvot voidaan taata. Naudoista saatava kuivalanta ja virtsa käytetään tehokkaasti lannoitukseen. Maatila toimii harkitusti ja tiukalla kustannusrakenteella, käyttäen hyödyksi kierrättämistä ja itsetekemistä. Esimerkiksi aumamuovit kierrätetään. Maatilan rakennukset lämmitetään puulla ja hakkeella, jotka saadaan omasta metsästä.</a:t>
          </a:r>
        </a:p>
        <a:p>
          <a:pPr marL="0" marR="0" lvl="0" indent="0" defTabSz="914400" eaLnBrk="1" fontAlgn="auto" latinLnBrk="0" hangingPunct="1">
            <a:lnSpc>
              <a:spcPct val="100000"/>
            </a:lnSpc>
            <a:spcBef>
              <a:spcPts val="0"/>
            </a:spcBef>
            <a:spcAft>
              <a:spcPts val="0"/>
            </a:spcAft>
            <a:buClrTx/>
            <a:buSzTx/>
            <a:buFontTx/>
            <a:buNone/>
            <a:tabLst/>
            <a:defRPr/>
          </a:pPr>
          <a:r>
            <a:rPr lang="fi-FI" sz="800">
              <a:solidFill>
                <a:schemeClr val="dk1"/>
              </a:solidFill>
              <a:effectLst/>
              <a:latin typeface="+mj-lt"/>
              <a:ea typeface="+mn-ea"/>
              <a:cs typeface="+mn-cs"/>
            </a:rPr>
            <a:t>Tilalla on yhteensä 34 hehtaaria peltopinta-alaa, ja se on tilan omaa maata. 20 hehtaaria tästä on käytössä säilörehun tuotannossa. Laitumia on 5 hehtaaria ja 4 hehtaarilla kasvatetaan kuivaheinää. Peltotukia kohdistuu koko pinta-alaan. Lisäksi tilaan kuuluu 50 hehtaaria metsää. </a:t>
          </a:r>
        </a:p>
        <a:p>
          <a:pPr marL="0" marR="0" lvl="0" indent="0" defTabSz="914400" eaLnBrk="1" fontAlgn="auto" latinLnBrk="0" hangingPunct="1">
            <a:lnSpc>
              <a:spcPct val="100000"/>
            </a:lnSpc>
            <a:spcBef>
              <a:spcPts val="0"/>
            </a:spcBef>
            <a:spcAft>
              <a:spcPts val="0"/>
            </a:spcAft>
            <a:buClrTx/>
            <a:buSzTx/>
            <a:buFontTx/>
            <a:buNone/>
            <a:tabLst/>
            <a:defRPr/>
          </a:pPr>
          <a:r>
            <a:rPr lang="fi-FI" sz="800">
              <a:solidFill>
                <a:schemeClr val="dk1"/>
              </a:solidFill>
              <a:effectLst/>
              <a:latin typeface="+mj-lt"/>
              <a:ea typeface="+mn-ea"/>
              <a:cs typeface="+mn-cs"/>
            </a:rPr>
            <a:t>Maatilalla on kaksi yrittäjää ja kirjanpito tehdään itse. Lomituspalveluita käytetään lakisääteiset 26 vuosilomapäivää ja maksullista lomitusapua 120 h vuodessa. </a:t>
          </a:r>
        </a:p>
        <a:p>
          <a:pPr marL="0" marR="0" lvl="0" indent="0" defTabSz="914400" eaLnBrk="1" fontAlgn="auto" latinLnBrk="0" hangingPunct="1">
            <a:lnSpc>
              <a:spcPct val="100000"/>
            </a:lnSpc>
            <a:spcBef>
              <a:spcPts val="0"/>
            </a:spcBef>
            <a:spcAft>
              <a:spcPts val="0"/>
            </a:spcAft>
            <a:buClrTx/>
            <a:buSzTx/>
            <a:buFontTx/>
            <a:buNone/>
            <a:tabLst/>
            <a:defRPr/>
          </a:pPr>
          <a:r>
            <a:rPr lang="fi-FI" sz="1100">
              <a:latin typeface="+mj-lt"/>
            </a:rPr>
            <a:t>		</a:t>
          </a:r>
        </a:p>
      </xdr:txBody>
    </xdr:sp>
    <xdr:clientData/>
  </xdr:twoCellAnchor>
  <xdr:twoCellAnchor>
    <xdr:from>
      <xdr:col>24</xdr:col>
      <xdr:colOff>295275</xdr:colOff>
      <xdr:row>68</xdr:row>
      <xdr:rowOff>152400</xdr:rowOff>
    </xdr:from>
    <xdr:to>
      <xdr:col>25</xdr:col>
      <xdr:colOff>571500</xdr:colOff>
      <xdr:row>72</xdr:row>
      <xdr:rowOff>123825</xdr:rowOff>
    </xdr:to>
    <xdr:sp macro="" textlink="">
      <xdr:nvSpPr>
        <xdr:cNvPr id="16" name="Pyöristetty suorakulmio 15" descr="Klikkaa tästä!" title="Siirry alkuun">
          <a:hlinkClick xmlns:r="http://schemas.openxmlformats.org/officeDocument/2006/relationships" r:id="rId12"/>
          <a:extLst>
            <a:ext uri="{FF2B5EF4-FFF2-40B4-BE49-F238E27FC236}">
              <a16:creationId xmlns:a16="http://schemas.microsoft.com/office/drawing/2014/main" id="{00000000-0008-0000-0200-000010000000}"/>
            </a:ext>
          </a:extLst>
        </xdr:cNvPr>
        <xdr:cNvSpPr/>
      </xdr:nvSpPr>
      <xdr:spPr>
        <a:xfrm>
          <a:off x="16449675" y="14344650"/>
          <a:ext cx="885825" cy="733425"/>
        </a:xfrm>
        <a:prstGeom prst="roundRect">
          <a:avLst/>
        </a:prstGeom>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fi-FI" sz="1600"/>
            <a:t>Siirry alkuun</a:t>
          </a:r>
        </a:p>
      </xdr:txBody>
    </xdr:sp>
    <xdr:clientData/>
  </xdr:twoCellAnchor>
  <xdr:twoCellAnchor>
    <xdr:from>
      <xdr:col>18</xdr:col>
      <xdr:colOff>0</xdr:colOff>
      <xdr:row>31</xdr:row>
      <xdr:rowOff>1</xdr:rowOff>
    </xdr:from>
    <xdr:to>
      <xdr:col>25</xdr:col>
      <xdr:colOff>581025</xdr:colOff>
      <xdr:row>49</xdr:row>
      <xdr:rowOff>180975</xdr:rowOff>
    </xdr:to>
    <xdr:graphicFrame macro="">
      <xdr:nvGraphicFramePr>
        <xdr:cNvPr id="18" name="Kaavio 17">
          <a:extLst>
            <a:ext uri="{FF2B5EF4-FFF2-40B4-BE49-F238E27FC236}">
              <a16:creationId xmlns:a16="http://schemas.microsoft.com/office/drawing/2014/main" id="{00000000-0008-0000-0200-00001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20</xdr:col>
      <xdr:colOff>257175</xdr:colOff>
      <xdr:row>1</xdr:row>
      <xdr:rowOff>0</xdr:rowOff>
    </xdr:from>
    <xdr:to>
      <xdr:col>25</xdr:col>
      <xdr:colOff>571500</xdr:colOff>
      <xdr:row>4</xdr:row>
      <xdr:rowOff>161925</xdr:rowOff>
    </xdr:to>
    <xdr:sp macro="" textlink="">
      <xdr:nvSpPr>
        <xdr:cNvPr id="2" name="Tekstiruutu 1">
          <a:extLst>
            <a:ext uri="{FF2B5EF4-FFF2-40B4-BE49-F238E27FC236}">
              <a16:creationId xmlns:a16="http://schemas.microsoft.com/office/drawing/2014/main" id="{00000000-0008-0000-0200-000002000000}"/>
            </a:ext>
          </a:extLst>
        </xdr:cNvPr>
        <xdr:cNvSpPr txBox="1"/>
      </xdr:nvSpPr>
      <xdr:spPr>
        <a:xfrm>
          <a:off x="13877925" y="342900"/>
          <a:ext cx="3362325" cy="704850"/>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900">
              <a:latin typeface="+mj-lt"/>
            </a:rPr>
            <a:t>1. Merkitse kotieläintuotantotiedot</a:t>
          </a:r>
          <a:r>
            <a:rPr lang="fi-FI" sz="900" baseline="0">
              <a:latin typeface="+mj-lt"/>
            </a:rPr>
            <a:t> keltaisiin soluihin</a:t>
          </a:r>
        </a:p>
        <a:p>
          <a:r>
            <a:rPr lang="fi-FI" sz="900" baseline="0">
              <a:latin typeface="+mj-lt"/>
            </a:rPr>
            <a:t>2. Tarkista, että esim. kokonaistuotos vastaa myytyä määrää</a:t>
          </a:r>
        </a:p>
        <a:p>
          <a:r>
            <a:rPr lang="fi-FI" sz="900" baseline="0">
              <a:latin typeface="+mj-lt"/>
            </a:rPr>
            <a:t>3. Täydennä tietoja tarvittaessa esim. sivulla </a:t>
          </a:r>
          <a:r>
            <a:rPr lang="fi-FI" sz="900" b="1" baseline="0">
              <a:latin typeface="+mj-lt"/>
            </a:rPr>
            <a:t>Energiatarve</a:t>
          </a:r>
        </a:p>
        <a:p>
          <a:r>
            <a:rPr lang="fi-FI" sz="900" baseline="0">
              <a:latin typeface="+mj-lt"/>
            </a:rPr>
            <a:t>4. Pohdi kannattavuutta           5. </a:t>
          </a:r>
          <a:r>
            <a:rPr lang="fi-FI" sz="900" baseline="0">
              <a:solidFill>
                <a:schemeClr val="dk1"/>
              </a:solidFill>
              <a:latin typeface="+mj-lt"/>
              <a:ea typeface="+mn-ea"/>
              <a:cs typeface="+mn-cs"/>
            </a:rPr>
            <a:t>Testaa kannattavuutta   </a:t>
          </a:r>
        </a:p>
      </xdr:txBody>
    </xdr:sp>
    <xdr:clientData/>
  </xdr:twoCellAnchor>
  <xdr:twoCellAnchor>
    <xdr:from>
      <xdr:col>20</xdr:col>
      <xdr:colOff>314325</xdr:colOff>
      <xdr:row>26</xdr:row>
      <xdr:rowOff>9525</xdr:rowOff>
    </xdr:from>
    <xdr:to>
      <xdr:col>26</xdr:col>
      <xdr:colOff>0</xdr:colOff>
      <xdr:row>29</xdr:row>
      <xdr:rowOff>171450</xdr:rowOff>
    </xdr:to>
    <xdr:sp macro="" textlink="">
      <xdr:nvSpPr>
        <xdr:cNvPr id="24" name="Tekstiruutu 23">
          <a:extLst>
            <a:ext uri="{FF2B5EF4-FFF2-40B4-BE49-F238E27FC236}">
              <a16:creationId xmlns:a16="http://schemas.microsoft.com/office/drawing/2014/main" id="{00000000-0008-0000-0200-000018000000}"/>
            </a:ext>
          </a:extLst>
        </xdr:cNvPr>
        <xdr:cNvSpPr txBox="1"/>
      </xdr:nvSpPr>
      <xdr:spPr>
        <a:xfrm>
          <a:off x="13935075" y="6010275"/>
          <a:ext cx="3362325" cy="704850"/>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900">
              <a:latin typeface="+mj-lt"/>
            </a:rPr>
            <a:t>1. Merkitse rehuntuotantotiedot</a:t>
          </a:r>
          <a:r>
            <a:rPr lang="fi-FI" sz="900" baseline="0">
              <a:latin typeface="+mj-lt"/>
            </a:rPr>
            <a:t> keltaisiin soluihin</a:t>
          </a:r>
        </a:p>
        <a:p>
          <a:r>
            <a:rPr lang="fi-FI" sz="900" baseline="0">
              <a:latin typeface="+mj-lt"/>
            </a:rPr>
            <a:t>2. Tarkista, että esim. kokonaistuotos vastaa tuotettua määrää</a:t>
          </a:r>
        </a:p>
        <a:p>
          <a:r>
            <a:rPr lang="fi-FI" sz="900" baseline="0">
              <a:latin typeface="+mj-lt"/>
            </a:rPr>
            <a:t>3. Täydennä tietoja tarvittaessa esim. sivulla </a:t>
          </a:r>
          <a:r>
            <a:rPr lang="fi-FI" sz="900" b="1" baseline="0">
              <a:latin typeface="+mj-lt"/>
            </a:rPr>
            <a:t>Rehuntuotanto</a:t>
          </a:r>
        </a:p>
        <a:p>
          <a:r>
            <a:rPr lang="fi-FI" sz="900" baseline="0">
              <a:latin typeface="+mj-lt"/>
            </a:rPr>
            <a:t>4. Vertaa tuotantokustannusta   5. Testaa </a:t>
          </a:r>
          <a:r>
            <a:rPr lang="fi-FI" sz="900" baseline="0">
              <a:solidFill>
                <a:schemeClr val="dk1"/>
              </a:solidFill>
              <a:effectLst/>
              <a:latin typeface="+mj-lt"/>
              <a:ea typeface="+mn-ea"/>
              <a:cs typeface="+mn-cs"/>
            </a:rPr>
            <a:t>tuotantokustannusta   </a:t>
          </a:r>
          <a:endParaRPr lang="fi-FI" sz="900">
            <a:latin typeface="+mj-lt"/>
          </a:endParaRPr>
        </a:p>
      </xdr:txBody>
    </xdr:sp>
    <xdr:clientData/>
  </xdr:twoCellAnchor>
  <xdr:twoCellAnchor>
    <xdr:from>
      <xdr:col>26</xdr:col>
      <xdr:colOff>152400</xdr:colOff>
      <xdr:row>26</xdr:row>
      <xdr:rowOff>47625</xdr:rowOff>
    </xdr:from>
    <xdr:to>
      <xdr:col>27</xdr:col>
      <xdr:colOff>428625</xdr:colOff>
      <xdr:row>30</xdr:row>
      <xdr:rowOff>57150</xdr:rowOff>
    </xdr:to>
    <xdr:sp macro="" textlink="">
      <xdr:nvSpPr>
        <xdr:cNvPr id="25" name="Pyöristetty suorakulmio 24" descr="Klikkaa tästä!" title="Siirry alkuun">
          <a:hlinkClick xmlns:r="http://schemas.openxmlformats.org/officeDocument/2006/relationships" r:id="rId12"/>
          <a:extLst>
            <a:ext uri="{FF2B5EF4-FFF2-40B4-BE49-F238E27FC236}">
              <a16:creationId xmlns:a16="http://schemas.microsoft.com/office/drawing/2014/main" id="{00000000-0008-0000-0200-000019000000}"/>
            </a:ext>
          </a:extLst>
        </xdr:cNvPr>
        <xdr:cNvSpPr/>
      </xdr:nvSpPr>
      <xdr:spPr>
        <a:xfrm>
          <a:off x="17526000" y="6048375"/>
          <a:ext cx="885825" cy="733425"/>
        </a:xfrm>
        <a:prstGeom prst="roundRect">
          <a:avLst/>
        </a:prstGeom>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fi-FI" sz="1600"/>
            <a:t>Siirry alkuun</a:t>
          </a:r>
        </a:p>
      </xdr:txBody>
    </xdr:sp>
    <xdr:clientData/>
  </xdr:twoCellAnchor>
  <xdr:twoCellAnchor>
    <xdr:from>
      <xdr:col>1</xdr:col>
      <xdr:colOff>1171575</xdr:colOff>
      <xdr:row>51</xdr:row>
      <xdr:rowOff>161924</xdr:rowOff>
    </xdr:from>
    <xdr:to>
      <xdr:col>2</xdr:col>
      <xdr:colOff>482950</xdr:colOff>
      <xdr:row>54</xdr:row>
      <xdr:rowOff>101739</xdr:rowOff>
    </xdr:to>
    <xdr:grpSp>
      <xdr:nvGrpSpPr>
        <xdr:cNvPr id="23" name="Diagram group">
          <a:extLst>
            <a:ext uri="{FF2B5EF4-FFF2-40B4-BE49-F238E27FC236}">
              <a16:creationId xmlns:a16="http://schemas.microsoft.com/office/drawing/2014/main" id="{00000000-0008-0000-0200-000017000000}"/>
            </a:ext>
          </a:extLst>
        </xdr:cNvPr>
        <xdr:cNvGrpSpPr/>
      </xdr:nvGrpSpPr>
      <xdr:grpSpPr>
        <a:xfrm>
          <a:off x="1358340" y="10889689"/>
          <a:ext cx="1589904" cy="500109"/>
          <a:chOff x="149" y="34854"/>
          <a:chExt cx="1492600" cy="597040"/>
        </a:xfrm>
        <a:solidFill>
          <a:schemeClr val="bg2">
            <a:lumMod val="25000"/>
          </a:schemeClr>
        </a:solidFill>
        <a:scene3d>
          <a:camera prst="orthographicFront">
            <a:rot lat="0" lon="0" rev="0"/>
          </a:camera>
          <a:lightRig rig="contrasting" dir="t">
            <a:rot lat="0" lon="0" rev="1500000"/>
          </a:lightRig>
        </a:scene3d>
      </xdr:grpSpPr>
      <xdr:grpSp>
        <xdr:nvGrpSpPr>
          <xdr:cNvPr id="27" name="Ryhmä 26">
            <a:extLst>
              <a:ext uri="{FF2B5EF4-FFF2-40B4-BE49-F238E27FC236}">
                <a16:creationId xmlns:a16="http://schemas.microsoft.com/office/drawing/2014/main" id="{00000000-0008-0000-0200-00001B000000}"/>
              </a:ext>
            </a:extLst>
          </xdr:cNvPr>
          <xdr:cNvGrpSpPr/>
        </xdr:nvGrpSpPr>
        <xdr:grpSpPr>
          <a:xfrm>
            <a:off x="149" y="34854"/>
            <a:ext cx="1492600" cy="597040"/>
            <a:chOff x="149" y="34854"/>
            <a:chExt cx="1492600" cy="597040"/>
          </a:xfrm>
          <a:grpFill/>
          <a:scene3d>
            <a:camera prst="orthographicFront">
              <a:rot lat="0" lon="0" rev="0"/>
            </a:camera>
            <a:lightRig rig="contrasting" dir="t">
              <a:rot lat="0" lon="0" rev="1500000"/>
            </a:lightRig>
          </a:scene3d>
        </xdr:grpSpPr>
        <xdr:sp macro="" textlink="">
          <xdr:nvSpPr>
            <xdr:cNvPr id="28" name="Lovettu nuolenkärki 27">
              <a:extLst>
                <a:ext uri="{FF2B5EF4-FFF2-40B4-BE49-F238E27FC236}">
                  <a16:creationId xmlns:a16="http://schemas.microsoft.com/office/drawing/2014/main" id="{00000000-0008-0000-0200-00001C000000}"/>
                </a:ext>
              </a:extLst>
            </xdr:cNvPr>
            <xdr:cNvSpPr/>
          </xdr:nvSpPr>
          <xdr:spPr>
            <a:xfrm>
              <a:off x="149" y="34854"/>
              <a:ext cx="1492600" cy="597040"/>
            </a:xfrm>
            <a:prstGeom prst="chevron">
              <a:avLst/>
            </a:prstGeom>
            <a:grpFill/>
            <a:ln>
              <a:noFill/>
            </a:ln>
            <a:effectLst>
              <a:outerShdw blurRad="149987" dist="250190" dir="8460000" algn="ctr">
                <a:srgbClr val="000000">
                  <a:alpha val="28000"/>
                </a:srgbClr>
              </a:outerShdw>
            </a:effectLst>
            <a:sp3d prstMaterial="metal">
              <a:bevelT w="88900" h="88900"/>
            </a:sp3d>
          </xdr:spPr>
          <xdr:style>
            <a:lnRef idx="0">
              <a:scrgbClr r="0" g="0" b="0"/>
            </a:lnRef>
            <a:fillRef idx="3">
              <a:scrgbClr r="0" g="0" b="0"/>
            </a:fillRef>
            <a:effectRef idx="2">
              <a:scrgbClr r="0" g="0" b="0"/>
            </a:effectRef>
            <a:fontRef idx="minor">
              <a:schemeClr val="lt1"/>
            </a:fontRef>
          </xdr:style>
        </xdr:sp>
        <xdr:sp macro="" textlink="">
          <xdr:nvSpPr>
            <xdr:cNvPr id="32" name="Lovettu nuolenkärki 4">
              <a:extLst>
                <a:ext uri="{FF2B5EF4-FFF2-40B4-BE49-F238E27FC236}">
                  <a16:creationId xmlns:a16="http://schemas.microsoft.com/office/drawing/2014/main" id="{00000000-0008-0000-0200-000020000000}"/>
                </a:ext>
              </a:extLst>
            </xdr:cNvPr>
            <xdr:cNvSpPr/>
          </xdr:nvSpPr>
          <xdr:spPr>
            <a:xfrm>
              <a:off x="298669" y="34854"/>
              <a:ext cx="895560" cy="597040"/>
            </a:xfrm>
            <a:prstGeom prst="rect">
              <a:avLst/>
            </a:prstGeom>
            <a:grpFill/>
            <a:sp3d/>
          </xdr:spPr>
          <xdr:style>
            <a:lnRef idx="0">
              <a:scrgbClr r="0" g="0" b="0"/>
            </a:lnRef>
            <a:fillRef idx="0">
              <a:scrgbClr r="0" g="0" b="0"/>
            </a:fillRef>
            <a:effectRef idx="0">
              <a:scrgbClr r="0" g="0" b="0"/>
            </a:effectRef>
            <a:fontRef idx="minor">
              <a:schemeClr val="lt1"/>
            </a:fontRef>
          </xdr:style>
          <xdr:txBody>
            <a:bodyPr spcFirstLastPara="0" vert="horz" wrap="square" lIns="56007" tIns="18669" rIns="18669" bIns="18669" numCol="1" spcCol="1270" anchor="ctr" anchorCtr="0">
              <a:noAutofit/>
            </a:bodyPr>
            <a:lstStyle/>
            <a:p>
              <a:pPr lvl="0" algn="ctr" defTabSz="622300">
                <a:lnSpc>
                  <a:spcPct val="90000"/>
                </a:lnSpc>
                <a:spcBef>
                  <a:spcPct val="0"/>
                </a:spcBef>
                <a:spcAft>
                  <a:spcPct val="35000"/>
                </a:spcAft>
              </a:pPr>
              <a:r>
                <a:rPr lang="fi-FI" sz="1200" kern="1200"/>
                <a:t>Yleis-kustannus</a:t>
              </a:r>
            </a:p>
          </xdr:txBody>
        </xdr:sp>
      </xdr:grpSp>
    </xdr:grpSp>
    <xdr:clientData/>
  </xdr:twoCellAnchor>
  <xdr:twoCellAnchor>
    <xdr:from>
      <xdr:col>3</xdr:col>
      <xdr:colOff>133350</xdr:colOff>
      <xdr:row>51</xdr:row>
      <xdr:rowOff>28575</xdr:rowOff>
    </xdr:from>
    <xdr:to>
      <xdr:col>7</xdr:col>
      <xdr:colOff>581025</xdr:colOff>
      <xdr:row>54</xdr:row>
      <xdr:rowOff>161925</xdr:rowOff>
    </xdr:to>
    <xdr:sp macro="" textlink="">
      <xdr:nvSpPr>
        <xdr:cNvPr id="33" name="Tekstiruutu 32">
          <a:extLst>
            <a:ext uri="{FF2B5EF4-FFF2-40B4-BE49-F238E27FC236}">
              <a16:creationId xmlns:a16="http://schemas.microsoft.com/office/drawing/2014/main" id="{00000000-0008-0000-0200-000021000000}"/>
            </a:ext>
          </a:extLst>
        </xdr:cNvPr>
        <xdr:cNvSpPr txBox="1"/>
      </xdr:nvSpPr>
      <xdr:spPr>
        <a:xfrm>
          <a:off x="3105150" y="10829925"/>
          <a:ext cx="2886075" cy="704850"/>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900">
              <a:latin typeface="+mj-lt"/>
            </a:rPr>
            <a:t>1. Kirjaa yleiskustannukset</a:t>
          </a:r>
          <a:r>
            <a:rPr lang="fi-FI" sz="900">
              <a:solidFill>
                <a:schemeClr val="dk1"/>
              </a:solidFill>
              <a:latin typeface="+mj-lt"/>
              <a:ea typeface="+mn-ea"/>
              <a:cs typeface="+mn-cs"/>
            </a:rPr>
            <a:t>: Merkitse </a:t>
          </a:r>
          <a:r>
            <a:rPr lang="fi-FI" sz="900">
              <a:latin typeface="+mj-lt"/>
            </a:rPr>
            <a:t>keltaisiin soluihin </a:t>
          </a:r>
          <a:r>
            <a:rPr lang="fi-FI" sz="900">
              <a:solidFill>
                <a:schemeClr val="dk1"/>
              </a:solidFill>
              <a:latin typeface="+mj-lt"/>
              <a:ea typeface="+mn-ea"/>
              <a:cs typeface="+mn-cs"/>
            </a:rPr>
            <a:t>kirjanpidosta</a:t>
          </a:r>
          <a:r>
            <a:rPr lang="fi-FI" sz="900" baseline="0">
              <a:solidFill>
                <a:schemeClr val="dk1"/>
              </a:solidFill>
              <a:latin typeface="+mj-lt"/>
              <a:ea typeface="+mn-ea"/>
              <a:cs typeface="+mn-cs"/>
            </a:rPr>
            <a:t> kaikki maatalouden kulut, joita ei ole huomioitu edellä paitsi lainojen korot, tuloverot ja alv</a:t>
          </a:r>
        </a:p>
        <a:p>
          <a:r>
            <a:rPr lang="fi-FI" sz="900" baseline="0">
              <a:solidFill>
                <a:schemeClr val="dk1"/>
              </a:solidFill>
              <a:latin typeface="+mj-lt"/>
              <a:ea typeface="+mn-ea"/>
              <a:cs typeface="+mn-cs"/>
            </a:rPr>
            <a:t>2. Kohdenna yleiskustannukset tarvittaessa (kotiel./viljely)</a:t>
          </a:r>
          <a:endParaRPr lang="fi-FI" sz="900">
            <a:solidFill>
              <a:schemeClr val="dk1"/>
            </a:solidFill>
            <a:latin typeface="+mj-lt"/>
            <a:ea typeface="+mn-ea"/>
            <a:cs typeface="+mn-cs"/>
          </a:endParaRPr>
        </a:p>
      </xdr:txBody>
    </xdr:sp>
    <xdr:clientData/>
  </xdr:twoCellAnchor>
  <xdr:twoCellAnchor>
    <xdr:from>
      <xdr:col>17</xdr:col>
      <xdr:colOff>161924</xdr:colOff>
      <xdr:row>6</xdr:row>
      <xdr:rowOff>33337</xdr:rowOff>
    </xdr:from>
    <xdr:to>
      <xdr:col>25</xdr:col>
      <xdr:colOff>571500</xdr:colOff>
      <xdr:row>16</xdr:row>
      <xdr:rowOff>4762</xdr:rowOff>
    </xdr:to>
    <xdr:graphicFrame macro="">
      <xdr:nvGraphicFramePr>
        <xdr:cNvPr id="37" name="Kaavio 36">
          <a:extLst>
            <a:ext uri="{FF2B5EF4-FFF2-40B4-BE49-F238E27FC236}">
              <a16:creationId xmlns:a16="http://schemas.microsoft.com/office/drawing/2014/main" id="{00000000-0008-0000-0200-00002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26</xdr:col>
      <xdr:colOff>123826</xdr:colOff>
      <xdr:row>5</xdr:row>
      <xdr:rowOff>28575</xdr:rowOff>
    </xdr:from>
    <xdr:to>
      <xdr:col>34</xdr:col>
      <xdr:colOff>133351</xdr:colOff>
      <xdr:row>15</xdr:row>
      <xdr:rowOff>171450</xdr:rowOff>
    </xdr:to>
    <xdr:sp macro="" textlink="" fLocksText="0">
      <xdr:nvSpPr>
        <xdr:cNvPr id="38" name="Tekstiruutu 37">
          <a:extLst>
            <a:ext uri="{FF2B5EF4-FFF2-40B4-BE49-F238E27FC236}">
              <a16:creationId xmlns:a16="http://schemas.microsoft.com/office/drawing/2014/main" id="{00000000-0008-0000-0200-000026000000}"/>
            </a:ext>
          </a:extLst>
        </xdr:cNvPr>
        <xdr:cNvSpPr txBox="1"/>
      </xdr:nvSpPr>
      <xdr:spPr>
        <a:xfrm>
          <a:off x="17497426" y="1095375"/>
          <a:ext cx="4886325" cy="2914650"/>
        </a:xfrm>
        <a:prstGeom prst="rect">
          <a:avLst/>
        </a:prstGeom>
        <a:solidFill>
          <a:srgbClr val="FFFF99"/>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fi-FI" sz="1100">
              <a:latin typeface="+mj-lt"/>
            </a:rPr>
            <a:t>Millainen on tilan kannattavuus? Pitääkö laskelman tulos paikkansa?</a:t>
          </a:r>
        </a:p>
        <a:p>
          <a:pPr marL="0" marR="0" lvl="0" indent="0" defTabSz="914400" eaLnBrk="1" fontAlgn="auto" latinLnBrk="0" hangingPunct="1">
            <a:lnSpc>
              <a:spcPct val="100000"/>
            </a:lnSpc>
            <a:spcBef>
              <a:spcPts val="0"/>
            </a:spcBef>
            <a:spcAft>
              <a:spcPts val="0"/>
            </a:spcAft>
            <a:buClrTx/>
            <a:buSzTx/>
            <a:buFontTx/>
            <a:buNone/>
            <a:tabLst/>
            <a:defRPr/>
          </a:pPr>
          <a:endParaRPr lang="fi-FI" sz="1100">
            <a:latin typeface="+mj-lt"/>
          </a:endParaRPr>
        </a:p>
      </xdr:txBody>
    </xdr:sp>
    <xdr:clientData/>
  </xdr:twoCellAnchor>
  <xdr:twoCellAnchor>
    <xdr:from>
      <xdr:col>26</xdr:col>
      <xdr:colOff>123826</xdr:colOff>
      <xdr:row>17</xdr:row>
      <xdr:rowOff>28575</xdr:rowOff>
    </xdr:from>
    <xdr:to>
      <xdr:col>34</xdr:col>
      <xdr:colOff>133351</xdr:colOff>
      <xdr:row>25</xdr:row>
      <xdr:rowOff>123825</xdr:rowOff>
    </xdr:to>
    <xdr:sp macro="" textlink="" fLocksText="0">
      <xdr:nvSpPr>
        <xdr:cNvPr id="39" name="Tekstiruutu 38">
          <a:extLst>
            <a:ext uri="{FF2B5EF4-FFF2-40B4-BE49-F238E27FC236}">
              <a16:creationId xmlns:a16="http://schemas.microsoft.com/office/drawing/2014/main" id="{00000000-0008-0000-0200-000027000000}"/>
            </a:ext>
          </a:extLst>
        </xdr:cNvPr>
        <xdr:cNvSpPr txBox="1"/>
      </xdr:nvSpPr>
      <xdr:spPr>
        <a:xfrm>
          <a:off x="17497426" y="4248150"/>
          <a:ext cx="4886325" cy="1685925"/>
        </a:xfrm>
        <a:prstGeom prst="rect">
          <a:avLst/>
        </a:prstGeom>
        <a:solidFill>
          <a:srgbClr val="FFFF99"/>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fi-FI" sz="1100">
              <a:latin typeface="+mj-lt"/>
            </a:rPr>
            <a:t>Testaa, millä toimenpiteillä kannattavuutta voidaan parantaa:</a:t>
          </a:r>
        </a:p>
        <a:p>
          <a:pPr marL="0" marR="0" lvl="0" indent="0" defTabSz="914400" eaLnBrk="1" fontAlgn="auto" latinLnBrk="0" hangingPunct="1">
            <a:lnSpc>
              <a:spcPct val="100000"/>
            </a:lnSpc>
            <a:spcBef>
              <a:spcPts val="0"/>
            </a:spcBef>
            <a:spcAft>
              <a:spcPts val="0"/>
            </a:spcAft>
            <a:buClrTx/>
            <a:buSzTx/>
            <a:buFontTx/>
            <a:buNone/>
            <a:tabLst/>
            <a:defRPr/>
          </a:pPr>
          <a:endParaRPr lang="fi-FI" sz="1100">
            <a:latin typeface="+mj-lt"/>
          </a:endParaRPr>
        </a:p>
      </xdr:txBody>
    </xdr:sp>
    <xdr:clientData/>
  </xdr:twoCellAnchor>
  <xdr:twoCellAnchor>
    <xdr:from>
      <xdr:col>26</xdr:col>
      <xdr:colOff>142876</xdr:colOff>
      <xdr:row>31</xdr:row>
      <xdr:rowOff>47625</xdr:rowOff>
    </xdr:from>
    <xdr:to>
      <xdr:col>34</xdr:col>
      <xdr:colOff>152401</xdr:colOff>
      <xdr:row>49</xdr:row>
      <xdr:rowOff>161925</xdr:rowOff>
    </xdr:to>
    <xdr:sp macro="" textlink="" fLocksText="0">
      <xdr:nvSpPr>
        <xdr:cNvPr id="40" name="Tekstiruutu 39">
          <a:extLst>
            <a:ext uri="{FF2B5EF4-FFF2-40B4-BE49-F238E27FC236}">
              <a16:creationId xmlns:a16="http://schemas.microsoft.com/office/drawing/2014/main" id="{00000000-0008-0000-0200-000028000000}"/>
            </a:ext>
          </a:extLst>
        </xdr:cNvPr>
        <xdr:cNvSpPr txBox="1"/>
      </xdr:nvSpPr>
      <xdr:spPr>
        <a:xfrm>
          <a:off x="17516476" y="6962775"/>
          <a:ext cx="4886325" cy="3619500"/>
        </a:xfrm>
        <a:prstGeom prst="rect">
          <a:avLst/>
        </a:prstGeom>
        <a:solidFill>
          <a:srgbClr val="FFFF99"/>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fi-FI" sz="1100">
              <a:latin typeface="+mj-lt"/>
            </a:rPr>
            <a:t>Vertaa säilörehun tuotantokustannusta hyvään ja erinomaiseen tulokseen:</a:t>
          </a:r>
        </a:p>
        <a:p>
          <a:pPr marL="0" marR="0" lvl="0" indent="0" defTabSz="914400" eaLnBrk="1" fontAlgn="auto" latinLnBrk="0" hangingPunct="1">
            <a:lnSpc>
              <a:spcPct val="100000"/>
            </a:lnSpc>
            <a:spcBef>
              <a:spcPts val="0"/>
            </a:spcBef>
            <a:spcAft>
              <a:spcPts val="0"/>
            </a:spcAft>
            <a:buClrTx/>
            <a:buSzTx/>
            <a:buFontTx/>
            <a:buNone/>
            <a:tabLst/>
            <a:defRPr/>
          </a:pPr>
          <a:r>
            <a:rPr lang="fi-FI" sz="1100">
              <a:latin typeface="+mj-lt"/>
            </a:rPr>
            <a:t>Millä toimenpiteillä säilörehun tuotantokustannusta voidaan alentaa ja kannattavuutta parantaa?</a:t>
          </a:r>
        </a:p>
        <a:p>
          <a:pPr marL="0" marR="0" lvl="0" indent="0" defTabSz="914400" eaLnBrk="1" fontAlgn="auto" latinLnBrk="0" hangingPunct="1">
            <a:lnSpc>
              <a:spcPct val="100000"/>
            </a:lnSpc>
            <a:spcBef>
              <a:spcPts val="0"/>
            </a:spcBef>
            <a:spcAft>
              <a:spcPts val="0"/>
            </a:spcAft>
            <a:buClrTx/>
            <a:buSzTx/>
            <a:buFontTx/>
            <a:buNone/>
            <a:tabLst/>
            <a:defRPr/>
          </a:pPr>
          <a:endParaRPr lang="fi-FI" sz="1100">
            <a:latin typeface="+mj-lt"/>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16</xdr:col>
      <xdr:colOff>180974</xdr:colOff>
      <xdr:row>2</xdr:row>
      <xdr:rowOff>0</xdr:rowOff>
    </xdr:from>
    <xdr:to>
      <xdr:col>26</xdr:col>
      <xdr:colOff>704849</xdr:colOff>
      <xdr:row>5</xdr:row>
      <xdr:rowOff>1</xdr:rowOff>
    </xdr:to>
    <xdr:sp macro="" textlink="">
      <xdr:nvSpPr>
        <xdr:cNvPr id="5" name="Tekstiruutu 4">
          <a:extLst>
            <a:ext uri="{FF2B5EF4-FFF2-40B4-BE49-F238E27FC236}">
              <a16:creationId xmlns:a16="http://schemas.microsoft.com/office/drawing/2014/main" id="{00000000-0008-0000-0300-000005000000}"/>
            </a:ext>
          </a:extLst>
        </xdr:cNvPr>
        <xdr:cNvSpPr txBox="1"/>
      </xdr:nvSpPr>
      <xdr:spPr>
        <a:xfrm>
          <a:off x="10467974" y="666750"/>
          <a:ext cx="7477125" cy="771526"/>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900">
              <a:latin typeface="+mj-lt"/>
            </a:rPr>
            <a:t>1. Täydennä tiedot tarvittaessa keltaisiin soluihin (elopaino, maidon pitoisuudet, kasvatusajat, väkirehun osuudet, kuntoluokan muutokset ym.)</a:t>
          </a:r>
        </a:p>
        <a:p>
          <a:r>
            <a:rPr lang="fi-FI" sz="900">
              <a:latin typeface="+mj-lt"/>
            </a:rPr>
            <a:t>2. Muuta tarvittaessa kylmäkasvatuksen vaikutusta rehun käyttöön. Toimenpide poistaa automaattisen</a:t>
          </a:r>
          <a:r>
            <a:rPr lang="fi-FI" sz="900" baseline="0">
              <a:latin typeface="+mj-lt"/>
            </a:rPr>
            <a:t> kaavan, joten </a:t>
          </a:r>
          <a:r>
            <a:rPr lang="fi-FI" sz="900">
              <a:latin typeface="+mj-lt"/>
            </a:rPr>
            <a:t>tallenna ensin eri versiona.</a:t>
          </a:r>
        </a:p>
        <a:p>
          <a:pPr marL="0" marR="0" lvl="0" indent="0" defTabSz="914400" eaLnBrk="1" fontAlgn="auto" latinLnBrk="0" hangingPunct="1">
            <a:lnSpc>
              <a:spcPct val="100000"/>
            </a:lnSpc>
            <a:spcBef>
              <a:spcPts val="0"/>
            </a:spcBef>
            <a:spcAft>
              <a:spcPts val="0"/>
            </a:spcAft>
            <a:buClrTx/>
            <a:buSzTx/>
            <a:buFontTx/>
            <a:buNone/>
            <a:tabLst/>
            <a:defRPr/>
          </a:pPr>
          <a:r>
            <a:rPr lang="fi-FI" sz="900">
              <a:solidFill>
                <a:schemeClr val="dk1"/>
              </a:solidFill>
              <a:effectLst/>
              <a:latin typeface="+mj-lt"/>
              <a:ea typeface="+mn-ea"/>
              <a:cs typeface="+mn-cs"/>
            </a:rPr>
            <a:t>3. Muuta tarvittaessa vapaaruokinnan vaikutusta rehun käyttöön. Toimenpide poistaa automaattisen</a:t>
          </a:r>
          <a:r>
            <a:rPr lang="fi-FI" sz="900" baseline="0">
              <a:solidFill>
                <a:schemeClr val="dk1"/>
              </a:solidFill>
              <a:effectLst/>
              <a:latin typeface="+mj-lt"/>
              <a:ea typeface="+mn-ea"/>
              <a:cs typeface="+mn-cs"/>
            </a:rPr>
            <a:t> kaavan, joten </a:t>
          </a:r>
          <a:r>
            <a:rPr lang="fi-FI" sz="900">
              <a:solidFill>
                <a:schemeClr val="dk1"/>
              </a:solidFill>
              <a:effectLst/>
              <a:latin typeface="+mj-lt"/>
              <a:ea typeface="+mn-ea"/>
              <a:cs typeface="+mn-cs"/>
            </a:rPr>
            <a:t>tallenna ensin eri versiona.</a:t>
          </a:r>
          <a:endParaRPr lang="fi-FI" sz="900">
            <a:effectLst/>
            <a:latin typeface="+mj-lt"/>
          </a:endParaRPr>
        </a:p>
        <a:p>
          <a:endParaRPr lang="fi-FI" sz="900">
            <a:latin typeface="+mj-lt"/>
          </a:endParaRPr>
        </a:p>
      </xdr:txBody>
    </xdr:sp>
    <xdr:clientData/>
  </xdr:twoCellAnchor>
  <xdr:twoCellAnchor>
    <xdr:from>
      <xdr:col>17</xdr:col>
      <xdr:colOff>0</xdr:colOff>
      <xdr:row>6</xdr:row>
      <xdr:rowOff>0</xdr:rowOff>
    </xdr:from>
    <xdr:to>
      <xdr:col>27</xdr:col>
      <xdr:colOff>0</xdr:colOff>
      <xdr:row>11</xdr:row>
      <xdr:rowOff>142875</xdr:rowOff>
    </xdr:to>
    <xdr:sp macro="" textlink="" fLocksText="0">
      <xdr:nvSpPr>
        <xdr:cNvPr id="6" name="Tekstiruutu 5">
          <a:extLst>
            <a:ext uri="{FF2B5EF4-FFF2-40B4-BE49-F238E27FC236}">
              <a16:creationId xmlns:a16="http://schemas.microsoft.com/office/drawing/2014/main" id="{00000000-0008-0000-0300-000006000000}"/>
            </a:ext>
          </a:extLst>
        </xdr:cNvPr>
        <xdr:cNvSpPr txBox="1"/>
      </xdr:nvSpPr>
      <xdr:spPr>
        <a:xfrm>
          <a:off x="10134600" y="1447800"/>
          <a:ext cx="7486650" cy="1190625"/>
        </a:xfrm>
        <a:prstGeom prst="rect">
          <a:avLst/>
        </a:prstGeom>
        <a:solidFill>
          <a:srgbClr val="FFFF99"/>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fi-FI" sz="1000">
              <a:latin typeface="+mj-lt"/>
            </a:rPr>
            <a:t>Omat muistiinpanot...</a:t>
          </a:r>
        </a:p>
        <a:p>
          <a:pPr marL="0" marR="0" lvl="0" indent="0" defTabSz="914400" eaLnBrk="1" fontAlgn="auto" latinLnBrk="0" hangingPunct="1">
            <a:lnSpc>
              <a:spcPct val="100000"/>
            </a:lnSpc>
            <a:spcBef>
              <a:spcPts val="0"/>
            </a:spcBef>
            <a:spcAft>
              <a:spcPts val="0"/>
            </a:spcAft>
            <a:buClrTx/>
            <a:buSzTx/>
            <a:buFontTx/>
            <a:buNone/>
            <a:tabLst/>
            <a:defRPr/>
          </a:pPr>
          <a:endParaRPr lang="fi-FI" sz="1000">
            <a:latin typeface="+mj-lt"/>
          </a:endParaRPr>
        </a:p>
      </xdr:txBody>
    </xdr:sp>
    <xdr:clientData/>
  </xdr:twoCellAnchor>
  <xdr:twoCellAnchor>
    <xdr:from>
      <xdr:col>17</xdr:col>
      <xdr:colOff>0</xdr:colOff>
      <xdr:row>12</xdr:row>
      <xdr:rowOff>0</xdr:rowOff>
    </xdr:from>
    <xdr:to>
      <xdr:col>27</xdr:col>
      <xdr:colOff>0</xdr:colOff>
      <xdr:row>17</xdr:row>
      <xdr:rowOff>142875</xdr:rowOff>
    </xdr:to>
    <xdr:sp macro="" textlink="" fLocksText="0">
      <xdr:nvSpPr>
        <xdr:cNvPr id="7" name="Tekstiruutu 6">
          <a:extLst>
            <a:ext uri="{FF2B5EF4-FFF2-40B4-BE49-F238E27FC236}">
              <a16:creationId xmlns:a16="http://schemas.microsoft.com/office/drawing/2014/main" id="{00000000-0008-0000-0300-000007000000}"/>
            </a:ext>
          </a:extLst>
        </xdr:cNvPr>
        <xdr:cNvSpPr txBox="1"/>
      </xdr:nvSpPr>
      <xdr:spPr>
        <a:xfrm>
          <a:off x="10134600" y="2686050"/>
          <a:ext cx="7486650" cy="1190625"/>
        </a:xfrm>
        <a:prstGeom prst="rect">
          <a:avLst/>
        </a:prstGeom>
        <a:solidFill>
          <a:srgbClr val="FFFF99"/>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lang="fi-FI" sz="1000">
            <a:solidFill>
              <a:schemeClr val="dk1"/>
            </a:solidFill>
            <a:latin typeface="+mj-lt"/>
            <a:ea typeface="+mn-ea"/>
            <a:cs typeface="+mn-cs"/>
          </a:endParaRPr>
        </a:p>
      </xdr:txBody>
    </xdr:sp>
    <xdr:clientData/>
  </xdr:twoCellAnchor>
  <xdr:twoCellAnchor>
    <xdr:from>
      <xdr:col>17</xdr:col>
      <xdr:colOff>0</xdr:colOff>
      <xdr:row>18</xdr:row>
      <xdr:rowOff>0</xdr:rowOff>
    </xdr:from>
    <xdr:to>
      <xdr:col>27</xdr:col>
      <xdr:colOff>0</xdr:colOff>
      <xdr:row>23</xdr:row>
      <xdr:rowOff>142875</xdr:rowOff>
    </xdr:to>
    <xdr:sp macro="" textlink="" fLocksText="0">
      <xdr:nvSpPr>
        <xdr:cNvPr id="8" name="Tekstiruutu 7">
          <a:extLst>
            <a:ext uri="{FF2B5EF4-FFF2-40B4-BE49-F238E27FC236}">
              <a16:creationId xmlns:a16="http://schemas.microsoft.com/office/drawing/2014/main" id="{00000000-0008-0000-0300-000008000000}"/>
            </a:ext>
          </a:extLst>
        </xdr:cNvPr>
        <xdr:cNvSpPr txBox="1"/>
      </xdr:nvSpPr>
      <xdr:spPr>
        <a:xfrm>
          <a:off x="10134600" y="3924300"/>
          <a:ext cx="7486650" cy="1190625"/>
        </a:xfrm>
        <a:prstGeom prst="rect">
          <a:avLst/>
        </a:prstGeom>
        <a:solidFill>
          <a:srgbClr val="FFFF99"/>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lang="fi-FI" sz="1000">
            <a:solidFill>
              <a:schemeClr val="dk1"/>
            </a:solidFill>
            <a:latin typeface="+mj-lt"/>
            <a:ea typeface="+mn-ea"/>
            <a:cs typeface="+mn-cs"/>
          </a:endParaRPr>
        </a:p>
      </xdr:txBody>
    </xdr:sp>
    <xdr:clientData/>
  </xdr:twoCellAnchor>
  <xdr:twoCellAnchor>
    <xdr:from>
      <xdr:col>17</xdr:col>
      <xdr:colOff>0</xdr:colOff>
      <xdr:row>30</xdr:row>
      <xdr:rowOff>0</xdr:rowOff>
    </xdr:from>
    <xdr:to>
      <xdr:col>27</xdr:col>
      <xdr:colOff>0</xdr:colOff>
      <xdr:row>35</xdr:row>
      <xdr:rowOff>142875</xdr:rowOff>
    </xdr:to>
    <xdr:sp macro="" textlink="" fLocksText="0">
      <xdr:nvSpPr>
        <xdr:cNvPr id="9" name="Tekstiruutu 8">
          <a:extLst>
            <a:ext uri="{FF2B5EF4-FFF2-40B4-BE49-F238E27FC236}">
              <a16:creationId xmlns:a16="http://schemas.microsoft.com/office/drawing/2014/main" id="{00000000-0008-0000-0300-000009000000}"/>
            </a:ext>
          </a:extLst>
        </xdr:cNvPr>
        <xdr:cNvSpPr txBox="1"/>
      </xdr:nvSpPr>
      <xdr:spPr>
        <a:xfrm>
          <a:off x="10134600" y="5162550"/>
          <a:ext cx="7486650" cy="1190625"/>
        </a:xfrm>
        <a:prstGeom prst="rect">
          <a:avLst/>
        </a:prstGeom>
        <a:solidFill>
          <a:srgbClr val="FFFF99"/>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lang="fi-FI" sz="1000">
            <a:solidFill>
              <a:schemeClr val="dk1"/>
            </a:solidFill>
            <a:latin typeface="+mj-lt"/>
            <a:ea typeface="+mn-ea"/>
            <a:cs typeface="+mn-cs"/>
          </a:endParaRPr>
        </a:p>
      </xdr:txBody>
    </xdr:sp>
    <xdr:clientData/>
  </xdr:twoCellAnchor>
  <xdr:twoCellAnchor>
    <xdr:from>
      <xdr:col>17</xdr:col>
      <xdr:colOff>0</xdr:colOff>
      <xdr:row>36</xdr:row>
      <xdr:rowOff>0</xdr:rowOff>
    </xdr:from>
    <xdr:to>
      <xdr:col>27</xdr:col>
      <xdr:colOff>0</xdr:colOff>
      <xdr:row>41</xdr:row>
      <xdr:rowOff>142875</xdr:rowOff>
    </xdr:to>
    <xdr:sp macro="" textlink="" fLocksText="0">
      <xdr:nvSpPr>
        <xdr:cNvPr id="10" name="Tekstiruutu 9">
          <a:extLst>
            <a:ext uri="{FF2B5EF4-FFF2-40B4-BE49-F238E27FC236}">
              <a16:creationId xmlns:a16="http://schemas.microsoft.com/office/drawing/2014/main" id="{00000000-0008-0000-0300-00000A000000}"/>
            </a:ext>
          </a:extLst>
        </xdr:cNvPr>
        <xdr:cNvSpPr txBox="1"/>
      </xdr:nvSpPr>
      <xdr:spPr>
        <a:xfrm>
          <a:off x="10134600" y="6400800"/>
          <a:ext cx="7486650" cy="1190625"/>
        </a:xfrm>
        <a:prstGeom prst="rect">
          <a:avLst/>
        </a:prstGeom>
        <a:solidFill>
          <a:srgbClr val="FFFF99"/>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lang="fi-FI" sz="1000">
            <a:solidFill>
              <a:schemeClr val="dk1"/>
            </a:solidFill>
            <a:latin typeface="+mj-lt"/>
            <a:ea typeface="+mn-ea"/>
            <a:cs typeface="+mn-cs"/>
          </a:endParaRPr>
        </a:p>
      </xdr:txBody>
    </xdr:sp>
    <xdr:clientData/>
  </xdr:twoCellAnchor>
  <xdr:twoCellAnchor>
    <xdr:from>
      <xdr:col>17</xdr:col>
      <xdr:colOff>0</xdr:colOff>
      <xdr:row>24</xdr:row>
      <xdr:rowOff>0</xdr:rowOff>
    </xdr:from>
    <xdr:to>
      <xdr:col>27</xdr:col>
      <xdr:colOff>0</xdr:colOff>
      <xdr:row>29</xdr:row>
      <xdr:rowOff>142875</xdr:rowOff>
    </xdr:to>
    <xdr:sp macro="" textlink="" fLocksText="0">
      <xdr:nvSpPr>
        <xdr:cNvPr id="11" name="Tekstiruutu 10">
          <a:extLst>
            <a:ext uri="{FF2B5EF4-FFF2-40B4-BE49-F238E27FC236}">
              <a16:creationId xmlns:a16="http://schemas.microsoft.com/office/drawing/2014/main" id="{00000000-0008-0000-0300-00000B000000}"/>
            </a:ext>
          </a:extLst>
        </xdr:cNvPr>
        <xdr:cNvSpPr txBox="1"/>
      </xdr:nvSpPr>
      <xdr:spPr>
        <a:xfrm>
          <a:off x="10467975" y="5191125"/>
          <a:ext cx="7486650" cy="1190625"/>
        </a:xfrm>
        <a:prstGeom prst="rect">
          <a:avLst/>
        </a:prstGeom>
        <a:solidFill>
          <a:srgbClr val="FFFF99"/>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lang="fi-FI" sz="1000">
            <a:solidFill>
              <a:schemeClr val="dk1"/>
            </a:solidFill>
            <a:latin typeface="+mj-lt"/>
            <a:ea typeface="+mn-ea"/>
            <a:cs typeface="+mn-cs"/>
          </a:endParaRPr>
        </a:p>
      </xdr:txBody>
    </xdr:sp>
    <xdr:clientData/>
  </xdr:twoCellAnchor>
  <xdr:twoCellAnchor>
    <xdr:from>
      <xdr:col>17</xdr:col>
      <xdr:colOff>0</xdr:colOff>
      <xdr:row>42</xdr:row>
      <xdr:rowOff>0</xdr:rowOff>
    </xdr:from>
    <xdr:to>
      <xdr:col>27</xdr:col>
      <xdr:colOff>0</xdr:colOff>
      <xdr:row>47</xdr:row>
      <xdr:rowOff>142875</xdr:rowOff>
    </xdr:to>
    <xdr:sp macro="" textlink="" fLocksText="0">
      <xdr:nvSpPr>
        <xdr:cNvPr id="12" name="Tekstiruutu 11">
          <a:extLst>
            <a:ext uri="{FF2B5EF4-FFF2-40B4-BE49-F238E27FC236}">
              <a16:creationId xmlns:a16="http://schemas.microsoft.com/office/drawing/2014/main" id="{00000000-0008-0000-0300-00000C000000}"/>
            </a:ext>
          </a:extLst>
        </xdr:cNvPr>
        <xdr:cNvSpPr txBox="1"/>
      </xdr:nvSpPr>
      <xdr:spPr>
        <a:xfrm>
          <a:off x="10467975" y="6429375"/>
          <a:ext cx="7486650" cy="1190625"/>
        </a:xfrm>
        <a:prstGeom prst="rect">
          <a:avLst/>
        </a:prstGeom>
        <a:solidFill>
          <a:srgbClr val="FFFF99"/>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lang="fi-FI" sz="1000">
            <a:solidFill>
              <a:schemeClr val="dk1"/>
            </a:solidFill>
            <a:latin typeface="+mj-lt"/>
            <a:ea typeface="+mn-ea"/>
            <a:cs typeface="+mn-cs"/>
          </a:endParaRPr>
        </a:p>
      </xdr:txBody>
    </xdr:sp>
    <xdr:clientData/>
  </xdr:twoCellAnchor>
  <xdr:twoCellAnchor>
    <xdr:from>
      <xdr:col>1</xdr:col>
      <xdr:colOff>1</xdr:colOff>
      <xdr:row>19</xdr:row>
      <xdr:rowOff>19050</xdr:rowOff>
    </xdr:from>
    <xdr:to>
      <xdr:col>3</xdr:col>
      <xdr:colOff>800100</xdr:colOff>
      <xdr:row>24</xdr:row>
      <xdr:rowOff>0</xdr:rowOff>
    </xdr:to>
    <xdr:graphicFrame macro="">
      <xdr:nvGraphicFramePr>
        <xdr:cNvPr id="2" name="Kaavio 1">
          <a:extLst>
            <a:ext uri="{FF2B5EF4-FFF2-40B4-BE49-F238E27FC236}">
              <a16:creationId xmlns:a16="http://schemas.microsoft.com/office/drawing/2014/main" id="{00000000-0008-0000-0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9526</xdr:colOff>
      <xdr:row>4</xdr:row>
      <xdr:rowOff>19050</xdr:rowOff>
    </xdr:from>
    <xdr:to>
      <xdr:col>3</xdr:col>
      <xdr:colOff>809625</xdr:colOff>
      <xdr:row>9</xdr:row>
      <xdr:rowOff>123825</xdr:rowOff>
    </xdr:to>
    <xdr:graphicFrame macro="">
      <xdr:nvGraphicFramePr>
        <xdr:cNvPr id="13" name="Kaavio 12">
          <a:extLst>
            <a:ext uri="{FF2B5EF4-FFF2-40B4-BE49-F238E27FC236}">
              <a16:creationId xmlns:a16="http://schemas.microsoft.com/office/drawing/2014/main" id="{00000000-0008-0000-03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19051</xdr:colOff>
      <xdr:row>31</xdr:row>
      <xdr:rowOff>28575</xdr:rowOff>
    </xdr:from>
    <xdr:to>
      <xdr:col>3</xdr:col>
      <xdr:colOff>819150</xdr:colOff>
      <xdr:row>35</xdr:row>
      <xdr:rowOff>295275</xdr:rowOff>
    </xdr:to>
    <xdr:graphicFrame macro="">
      <xdr:nvGraphicFramePr>
        <xdr:cNvPr id="14" name="Kaavio 13">
          <a:extLst>
            <a:ext uri="{FF2B5EF4-FFF2-40B4-BE49-F238E27FC236}">
              <a16:creationId xmlns:a16="http://schemas.microsoft.com/office/drawing/2014/main" id="{00000000-0008-0000-03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9526</xdr:colOff>
      <xdr:row>37</xdr:row>
      <xdr:rowOff>28575</xdr:rowOff>
    </xdr:from>
    <xdr:to>
      <xdr:col>3</xdr:col>
      <xdr:colOff>809625</xdr:colOff>
      <xdr:row>41</xdr:row>
      <xdr:rowOff>295275</xdr:rowOff>
    </xdr:to>
    <xdr:graphicFrame macro="">
      <xdr:nvGraphicFramePr>
        <xdr:cNvPr id="15" name="Kaavio 14">
          <a:extLst>
            <a:ext uri="{FF2B5EF4-FFF2-40B4-BE49-F238E27FC236}">
              <a16:creationId xmlns:a16="http://schemas.microsoft.com/office/drawing/2014/main" id="{00000000-0008-0000-03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0</xdr:colOff>
      <xdr:row>25</xdr:row>
      <xdr:rowOff>9524</xdr:rowOff>
    </xdr:from>
    <xdr:to>
      <xdr:col>3</xdr:col>
      <xdr:colOff>809625</xdr:colOff>
      <xdr:row>29</xdr:row>
      <xdr:rowOff>180974</xdr:rowOff>
    </xdr:to>
    <xdr:graphicFrame macro="">
      <xdr:nvGraphicFramePr>
        <xdr:cNvPr id="18" name="Kaavio 17">
          <a:extLst>
            <a:ext uri="{FF2B5EF4-FFF2-40B4-BE49-F238E27FC236}">
              <a16:creationId xmlns:a16="http://schemas.microsoft.com/office/drawing/2014/main" id="{00000000-0008-0000-0300-00001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9525</xdr:colOff>
      <xdr:row>13</xdr:row>
      <xdr:rowOff>19050</xdr:rowOff>
    </xdr:from>
    <xdr:to>
      <xdr:col>3</xdr:col>
      <xdr:colOff>809624</xdr:colOff>
      <xdr:row>17</xdr:row>
      <xdr:rowOff>180975</xdr:rowOff>
    </xdr:to>
    <xdr:graphicFrame macro="">
      <xdr:nvGraphicFramePr>
        <xdr:cNvPr id="19" name="Kaavio 18">
          <a:extLst>
            <a:ext uri="{FF2B5EF4-FFF2-40B4-BE49-F238E27FC236}">
              <a16:creationId xmlns:a16="http://schemas.microsoft.com/office/drawing/2014/main" id="{00000000-0008-0000-0300-00001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0</xdr:colOff>
      <xdr:row>43</xdr:row>
      <xdr:rowOff>9525</xdr:rowOff>
    </xdr:from>
    <xdr:to>
      <xdr:col>3</xdr:col>
      <xdr:colOff>800099</xdr:colOff>
      <xdr:row>48</xdr:row>
      <xdr:rowOff>28575</xdr:rowOff>
    </xdr:to>
    <xdr:graphicFrame macro="">
      <xdr:nvGraphicFramePr>
        <xdr:cNvPr id="20" name="Kaavio 19">
          <a:extLst>
            <a:ext uri="{FF2B5EF4-FFF2-40B4-BE49-F238E27FC236}">
              <a16:creationId xmlns:a16="http://schemas.microsoft.com/office/drawing/2014/main" id="{00000000-0008-0000-0300-00001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15</xdr:col>
      <xdr:colOff>238125</xdr:colOff>
      <xdr:row>51</xdr:row>
      <xdr:rowOff>0</xdr:rowOff>
    </xdr:from>
    <xdr:to>
      <xdr:col>16</xdr:col>
      <xdr:colOff>152400</xdr:colOff>
      <xdr:row>54</xdr:row>
      <xdr:rowOff>161925</xdr:rowOff>
    </xdr:to>
    <xdr:sp macro="" textlink="">
      <xdr:nvSpPr>
        <xdr:cNvPr id="17" name="Pyöristetty suorakulmio 16" descr="Klikkaa tästä!" title="Siirry alkuun">
          <a:hlinkClick xmlns:r="http://schemas.openxmlformats.org/officeDocument/2006/relationships" r:id="rId8"/>
          <a:extLst>
            <a:ext uri="{FF2B5EF4-FFF2-40B4-BE49-F238E27FC236}">
              <a16:creationId xmlns:a16="http://schemas.microsoft.com/office/drawing/2014/main" id="{00000000-0008-0000-0300-000011000000}"/>
            </a:ext>
          </a:extLst>
        </xdr:cNvPr>
        <xdr:cNvSpPr/>
      </xdr:nvSpPr>
      <xdr:spPr>
        <a:xfrm>
          <a:off x="9477375" y="10734675"/>
          <a:ext cx="962025" cy="733425"/>
        </a:xfrm>
        <a:prstGeom prst="roundRect">
          <a:avLst/>
        </a:prstGeom>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fi-FI" sz="1600"/>
            <a:t>Siirry alkuun</a:t>
          </a:r>
        </a:p>
      </xdr:txBody>
    </xdr:sp>
    <xdr:clientData/>
  </xdr:twoCellAnchor>
  <xdr:twoCellAnchor>
    <xdr:from>
      <xdr:col>12</xdr:col>
      <xdr:colOff>257175</xdr:colOff>
      <xdr:row>51</xdr:row>
      <xdr:rowOff>0</xdr:rowOff>
    </xdr:from>
    <xdr:to>
      <xdr:col>15</xdr:col>
      <xdr:colOff>66675</xdr:colOff>
      <xdr:row>54</xdr:row>
      <xdr:rowOff>161925</xdr:rowOff>
    </xdr:to>
    <xdr:sp macro="" textlink="">
      <xdr:nvSpPr>
        <xdr:cNvPr id="21" name="Pyöristetty suorakulmio 20" descr="Klikkaa tästä!" title="Siirry alkuun">
          <a:hlinkClick xmlns:r="http://schemas.openxmlformats.org/officeDocument/2006/relationships" r:id="rId9"/>
          <a:extLst>
            <a:ext uri="{FF2B5EF4-FFF2-40B4-BE49-F238E27FC236}">
              <a16:creationId xmlns:a16="http://schemas.microsoft.com/office/drawing/2014/main" id="{00000000-0008-0000-0300-000015000000}"/>
            </a:ext>
          </a:extLst>
        </xdr:cNvPr>
        <xdr:cNvSpPr/>
      </xdr:nvSpPr>
      <xdr:spPr>
        <a:xfrm>
          <a:off x="7886700" y="10734675"/>
          <a:ext cx="1419225" cy="733425"/>
        </a:xfrm>
        <a:prstGeom prst="roundRect">
          <a:avLst/>
        </a:prstGeom>
        <a:solidFill>
          <a:srgbClr val="98F20F"/>
        </a:solidFill>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fi-FI" sz="1800"/>
            <a:t>Lähtötiedot</a:t>
          </a:r>
          <a:endParaRPr lang="fi-FI" sz="1400"/>
        </a:p>
      </xdr:txBody>
    </xdr:sp>
    <xdr:clientData/>
  </xdr:twoCellAnchor>
  <xdr:twoCellAnchor editAs="oneCell">
    <xdr:from>
      <xdr:col>1</xdr:col>
      <xdr:colOff>0</xdr:colOff>
      <xdr:row>0</xdr:row>
      <xdr:rowOff>0</xdr:rowOff>
    </xdr:from>
    <xdr:to>
      <xdr:col>3</xdr:col>
      <xdr:colOff>228600</xdr:colOff>
      <xdr:row>0</xdr:row>
      <xdr:rowOff>339138</xdr:rowOff>
    </xdr:to>
    <xdr:pic>
      <xdr:nvPicPr>
        <xdr:cNvPr id="22" name="Kuva 21">
          <a:extLst>
            <a:ext uri="{FF2B5EF4-FFF2-40B4-BE49-F238E27FC236}">
              <a16:creationId xmlns:a16="http://schemas.microsoft.com/office/drawing/2014/main" id="{00000000-0008-0000-0300-000016000000}"/>
            </a:ext>
          </a:extLst>
        </xdr:cNvPr>
        <xdr:cNvPicPr>
          <a:picLocks noChangeAspect="1"/>
        </xdr:cNvPicPr>
      </xdr:nvPicPr>
      <xdr:blipFill rotWithShape="1">
        <a:blip xmlns:r="http://schemas.openxmlformats.org/officeDocument/2006/relationships" r:embed="rId10"/>
        <a:srcRect l="4914" t="19635" r="9124" b="32923"/>
        <a:stretch/>
      </xdr:blipFill>
      <xdr:spPr>
        <a:xfrm>
          <a:off x="180975" y="0"/>
          <a:ext cx="1123950" cy="339138"/>
        </a:xfrm>
        <a:prstGeom prst="rect">
          <a:avLst/>
        </a:prstGeom>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180974</xdr:colOff>
      <xdr:row>2</xdr:row>
      <xdr:rowOff>1</xdr:rowOff>
    </xdr:from>
    <xdr:to>
      <xdr:col>10</xdr:col>
      <xdr:colOff>600075</xdr:colOff>
      <xdr:row>5</xdr:row>
      <xdr:rowOff>19050</xdr:rowOff>
    </xdr:to>
    <xdr:sp macro="" textlink="">
      <xdr:nvSpPr>
        <xdr:cNvPr id="2" name="Tekstiruutu 1">
          <a:extLst>
            <a:ext uri="{FF2B5EF4-FFF2-40B4-BE49-F238E27FC236}">
              <a16:creationId xmlns:a16="http://schemas.microsoft.com/office/drawing/2014/main" id="{00000000-0008-0000-0400-000002000000}"/>
            </a:ext>
          </a:extLst>
        </xdr:cNvPr>
        <xdr:cNvSpPr txBox="1"/>
      </xdr:nvSpPr>
      <xdr:spPr>
        <a:xfrm>
          <a:off x="180974" y="476251"/>
          <a:ext cx="5486401" cy="752474"/>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900">
              <a:latin typeface="+mj-lt"/>
            </a:rPr>
            <a:t>1. Täydennä taulukkoon </a:t>
          </a:r>
          <a:r>
            <a:rPr lang="fi-FI" sz="900" baseline="0">
              <a:solidFill>
                <a:schemeClr val="dk1"/>
              </a:solidFill>
              <a:effectLst/>
              <a:latin typeface="+mj-lt"/>
              <a:ea typeface="+mn-ea"/>
              <a:cs typeface="+mn-cs"/>
            </a:rPr>
            <a:t>keltaisiin soluihin </a:t>
          </a:r>
          <a:r>
            <a:rPr lang="fi-FI" sz="900">
              <a:latin typeface="+mj-lt"/>
            </a:rPr>
            <a:t>rehuntuotantoalat rehuittain, keskimääräiset sadot ja rehuarvot</a:t>
          </a:r>
        </a:p>
        <a:p>
          <a:r>
            <a:rPr lang="fi-FI" sz="900">
              <a:latin typeface="+mj-lt"/>
            </a:rPr>
            <a:t>2. Merkitse tueton</a:t>
          </a:r>
          <a:r>
            <a:rPr lang="fi-FI" sz="900" baseline="0">
              <a:latin typeface="+mj-lt"/>
            </a:rPr>
            <a:t> peltoala rehuittain kohtaan Sopimustuotanto</a:t>
          </a:r>
        </a:p>
        <a:p>
          <a:r>
            <a:rPr lang="fi-FI" sz="900" baseline="0">
              <a:latin typeface="+mj-lt"/>
            </a:rPr>
            <a:t>3. Merkitse säilörehun ananlyysitiedot keltaisiin soluihin ja vertaa tavoitearvoihin</a:t>
          </a:r>
        </a:p>
        <a:p>
          <a:r>
            <a:rPr lang="fi-FI" sz="900" baseline="0">
              <a:latin typeface="+mj-lt"/>
            </a:rPr>
            <a:t>4. Vertaile rehujen kuiva-ainesatoja</a:t>
          </a:r>
        </a:p>
        <a:p>
          <a:endParaRPr lang="fi-FI" sz="900">
            <a:latin typeface="+mj-lt"/>
          </a:endParaRPr>
        </a:p>
      </xdr:txBody>
    </xdr:sp>
    <xdr:clientData/>
  </xdr:twoCellAnchor>
  <xdr:twoCellAnchor>
    <xdr:from>
      <xdr:col>13</xdr:col>
      <xdr:colOff>9524</xdr:colOff>
      <xdr:row>28</xdr:row>
      <xdr:rowOff>0</xdr:rowOff>
    </xdr:from>
    <xdr:to>
      <xdr:col>27</xdr:col>
      <xdr:colOff>600075</xdr:colOff>
      <xdr:row>41</xdr:row>
      <xdr:rowOff>0</xdr:rowOff>
    </xdr:to>
    <xdr:graphicFrame macro="">
      <xdr:nvGraphicFramePr>
        <xdr:cNvPr id="3" name="Kaavio 2">
          <a:extLst>
            <a:ext uri="{FF2B5EF4-FFF2-40B4-BE49-F238E27FC236}">
              <a16:creationId xmlns:a16="http://schemas.microsoft.com/office/drawing/2014/main" id="{00000000-0008-0000-04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0</xdr:colOff>
      <xdr:row>41</xdr:row>
      <xdr:rowOff>171450</xdr:rowOff>
    </xdr:from>
    <xdr:to>
      <xdr:col>27</xdr:col>
      <xdr:colOff>590550</xdr:colOff>
      <xdr:row>54</xdr:row>
      <xdr:rowOff>180975</xdr:rowOff>
    </xdr:to>
    <xdr:graphicFrame macro="">
      <xdr:nvGraphicFramePr>
        <xdr:cNvPr id="5" name="Kaavio 4">
          <a:extLst>
            <a:ext uri="{FF2B5EF4-FFF2-40B4-BE49-F238E27FC236}">
              <a16:creationId xmlns:a16="http://schemas.microsoft.com/office/drawing/2014/main" id="{00000000-0008-0000-04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180974</xdr:colOff>
      <xdr:row>55</xdr:row>
      <xdr:rowOff>190499</xdr:rowOff>
    </xdr:from>
    <xdr:to>
      <xdr:col>11</xdr:col>
      <xdr:colOff>9524</xdr:colOff>
      <xdr:row>69</xdr:row>
      <xdr:rowOff>9524</xdr:rowOff>
    </xdr:to>
    <xdr:sp macro="" textlink="" fLocksText="0">
      <xdr:nvSpPr>
        <xdr:cNvPr id="6" name="Tekstiruutu 5">
          <a:extLst>
            <a:ext uri="{FF2B5EF4-FFF2-40B4-BE49-F238E27FC236}">
              <a16:creationId xmlns:a16="http://schemas.microsoft.com/office/drawing/2014/main" id="{00000000-0008-0000-0400-000006000000}"/>
            </a:ext>
          </a:extLst>
        </xdr:cNvPr>
        <xdr:cNvSpPr txBox="1"/>
      </xdr:nvSpPr>
      <xdr:spPr>
        <a:xfrm>
          <a:off x="361949" y="10601324"/>
          <a:ext cx="5324475" cy="2486025"/>
        </a:xfrm>
        <a:prstGeom prst="rect">
          <a:avLst/>
        </a:prstGeom>
        <a:solidFill>
          <a:srgbClr val="FFFF99"/>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fi-FI" sz="1000">
              <a:latin typeface="+mj-lt"/>
            </a:rPr>
            <a:t>Lisätietoja:</a:t>
          </a:r>
        </a:p>
      </xdr:txBody>
    </xdr:sp>
    <xdr:clientData/>
  </xdr:twoCellAnchor>
  <xdr:twoCellAnchor>
    <xdr:from>
      <xdr:col>12</xdr:col>
      <xdr:colOff>180974</xdr:colOff>
      <xdr:row>55</xdr:row>
      <xdr:rowOff>190499</xdr:rowOff>
    </xdr:from>
    <xdr:to>
      <xdr:col>27</xdr:col>
      <xdr:colOff>600075</xdr:colOff>
      <xdr:row>69</xdr:row>
      <xdr:rowOff>9524</xdr:rowOff>
    </xdr:to>
    <xdr:sp macro="" textlink="" fLocksText="0">
      <xdr:nvSpPr>
        <xdr:cNvPr id="7" name="Tekstiruutu 6">
          <a:extLst>
            <a:ext uri="{FF2B5EF4-FFF2-40B4-BE49-F238E27FC236}">
              <a16:creationId xmlns:a16="http://schemas.microsoft.com/office/drawing/2014/main" id="{00000000-0008-0000-0400-000007000000}"/>
            </a:ext>
          </a:extLst>
        </xdr:cNvPr>
        <xdr:cNvSpPr txBox="1"/>
      </xdr:nvSpPr>
      <xdr:spPr>
        <a:xfrm>
          <a:off x="6038849" y="10601324"/>
          <a:ext cx="9134476" cy="2486025"/>
        </a:xfrm>
        <a:prstGeom prst="rect">
          <a:avLst/>
        </a:prstGeom>
        <a:solidFill>
          <a:srgbClr val="FFFF99"/>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auto" latinLnBrk="0" hangingPunct="1"/>
          <a:r>
            <a:rPr lang="fi-FI" sz="1000">
              <a:solidFill>
                <a:schemeClr val="dk1"/>
              </a:solidFill>
              <a:effectLst/>
              <a:latin typeface="+mj-lt"/>
              <a:ea typeface="+mn-ea"/>
              <a:cs typeface="+mn-cs"/>
            </a:rPr>
            <a:t>Lisätietoja:</a:t>
          </a:r>
          <a:endParaRPr lang="fi-FI" sz="1000">
            <a:effectLst/>
            <a:latin typeface="+mj-lt"/>
          </a:endParaRPr>
        </a:p>
      </xdr:txBody>
    </xdr:sp>
    <xdr:clientData/>
  </xdr:twoCellAnchor>
  <xdr:twoCellAnchor>
    <xdr:from>
      <xdr:col>30</xdr:col>
      <xdr:colOff>1</xdr:colOff>
      <xdr:row>2</xdr:row>
      <xdr:rowOff>0</xdr:rowOff>
    </xdr:from>
    <xdr:to>
      <xdr:col>34</xdr:col>
      <xdr:colOff>19051</xdr:colOff>
      <xdr:row>26</xdr:row>
      <xdr:rowOff>180975</xdr:rowOff>
    </xdr:to>
    <xdr:sp macro="" textlink="" fLocksText="0">
      <xdr:nvSpPr>
        <xdr:cNvPr id="8" name="Tekstiruutu 7">
          <a:extLst>
            <a:ext uri="{FF2B5EF4-FFF2-40B4-BE49-F238E27FC236}">
              <a16:creationId xmlns:a16="http://schemas.microsoft.com/office/drawing/2014/main" id="{00000000-0008-0000-0400-000008000000}"/>
            </a:ext>
          </a:extLst>
        </xdr:cNvPr>
        <xdr:cNvSpPr txBox="1"/>
      </xdr:nvSpPr>
      <xdr:spPr>
        <a:xfrm>
          <a:off x="15544801" y="476250"/>
          <a:ext cx="2457450" cy="4514850"/>
        </a:xfrm>
        <a:prstGeom prst="rect">
          <a:avLst/>
        </a:prstGeom>
        <a:solidFill>
          <a:srgbClr val="FFFF99"/>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fi-FI" sz="1000">
              <a:latin typeface="+mj-lt"/>
            </a:rPr>
            <a:t>Vertaile säilörehun rehuanalyysin tuloksia tavoitearvoihin: </a:t>
          </a:r>
        </a:p>
        <a:p>
          <a:pPr marL="0" marR="0" lvl="0" indent="0" defTabSz="914400" eaLnBrk="1" fontAlgn="auto" latinLnBrk="0" hangingPunct="1">
            <a:lnSpc>
              <a:spcPct val="100000"/>
            </a:lnSpc>
            <a:spcBef>
              <a:spcPts val="0"/>
            </a:spcBef>
            <a:spcAft>
              <a:spcPts val="0"/>
            </a:spcAft>
            <a:buClrTx/>
            <a:buSzTx/>
            <a:buFontTx/>
            <a:buNone/>
            <a:tabLst/>
            <a:defRPr/>
          </a:pPr>
          <a:r>
            <a:rPr lang="fi-FI" sz="1000">
              <a:latin typeface="+mj-lt"/>
            </a:rPr>
            <a:t>Onko rehun säilönnässä parannettavaa? Mihin asioihin tulisi</a:t>
          </a:r>
          <a:r>
            <a:rPr lang="fi-FI" sz="1000" baseline="0">
              <a:latin typeface="+mj-lt"/>
            </a:rPr>
            <a:t> erityisesti rehunsäilönnässä kiinnittää huomiota?</a:t>
          </a:r>
          <a:endParaRPr lang="fi-FI" sz="1000">
            <a:latin typeface="+mj-lt"/>
          </a:endParaRPr>
        </a:p>
      </xdr:txBody>
    </xdr:sp>
    <xdr:clientData/>
  </xdr:twoCellAnchor>
  <xdr:twoCellAnchor>
    <xdr:from>
      <xdr:col>30</xdr:col>
      <xdr:colOff>0</xdr:colOff>
      <xdr:row>28</xdr:row>
      <xdr:rowOff>0</xdr:rowOff>
    </xdr:from>
    <xdr:to>
      <xdr:col>34</xdr:col>
      <xdr:colOff>19050</xdr:colOff>
      <xdr:row>40</xdr:row>
      <xdr:rowOff>171450</xdr:rowOff>
    </xdr:to>
    <xdr:sp macro="" textlink="" fLocksText="0">
      <xdr:nvSpPr>
        <xdr:cNvPr id="10" name="Tekstiruutu 9">
          <a:extLst>
            <a:ext uri="{FF2B5EF4-FFF2-40B4-BE49-F238E27FC236}">
              <a16:creationId xmlns:a16="http://schemas.microsoft.com/office/drawing/2014/main" id="{00000000-0008-0000-0400-00000A000000}"/>
            </a:ext>
          </a:extLst>
        </xdr:cNvPr>
        <xdr:cNvSpPr txBox="1"/>
      </xdr:nvSpPr>
      <xdr:spPr>
        <a:xfrm>
          <a:off x="15544800" y="5200650"/>
          <a:ext cx="2457450" cy="2486025"/>
        </a:xfrm>
        <a:prstGeom prst="rect">
          <a:avLst/>
        </a:prstGeom>
        <a:solidFill>
          <a:srgbClr val="FFFF99"/>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fi-FI" sz="1000">
              <a:latin typeface="+mj-lt"/>
            </a:rPr>
            <a:t>Mistä saadaan parhaimmat sadot?</a:t>
          </a:r>
        </a:p>
        <a:p>
          <a:pPr marL="0" marR="0" lvl="0" indent="0" defTabSz="914400" eaLnBrk="1" fontAlgn="auto" latinLnBrk="0" hangingPunct="1">
            <a:lnSpc>
              <a:spcPct val="100000"/>
            </a:lnSpc>
            <a:spcBef>
              <a:spcPts val="0"/>
            </a:spcBef>
            <a:spcAft>
              <a:spcPts val="0"/>
            </a:spcAft>
            <a:buClrTx/>
            <a:buSzTx/>
            <a:buFontTx/>
            <a:buNone/>
            <a:tabLst/>
            <a:defRPr/>
          </a:pPr>
          <a:r>
            <a:rPr lang="fi-FI" sz="1000">
              <a:latin typeface="+mj-lt"/>
            </a:rPr>
            <a:t>Vastaako sato siihen tehtyjä panostuksia?</a:t>
          </a:r>
        </a:p>
      </xdr:txBody>
    </xdr:sp>
    <xdr:clientData/>
  </xdr:twoCellAnchor>
  <xdr:twoCellAnchor>
    <xdr:from>
      <xdr:col>30</xdr:col>
      <xdr:colOff>0</xdr:colOff>
      <xdr:row>42</xdr:row>
      <xdr:rowOff>0</xdr:rowOff>
    </xdr:from>
    <xdr:to>
      <xdr:col>34</xdr:col>
      <xdr:colOff>19050</xdr:colOff>
      <xdr:row>54</xdr:row>
      <xdr:rowOff>171450</xdr:rowOff>
    </xdr:to>
    <xdr:sp macro="" textlink="" fLocksText="0">
      <xdr:nvSpPr>
        <xdr:cNvPr id="11" name="Tekstiruutu 10">
          <a:extLst>
            <a:ext uri="{FF2B5EF4-FFF2-40B4-BE49-F238E27FC236}">
              <a16:creationId xmlns:a16="http://schemas.microsoft.com/office/drawing/2014/main" id="{00000000-0008-0000-0400-00000B000000}"/>
            </a:ext>
          </a:extLst>
        </xdr:cNvPr>
        <xdr:cNvSpPr txBox="1"/>
      </xdr:nvSpPr>
      <xdr:spPr>
        <a:xfrm>
          <a:off x="15544800" y="7905750"/>
          <a:ext cx="2457450" cy="2486025"/>
        </a:xfrm>
        <a:prstGeom prst="rect">
          <a:avLst/>
        </a:prstGeom>
        <a:solidFill>
          <a:srgbClr val="FFFF99"/>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fi-FI" sz="1000">
              <a:latin typeface="+mj-lt"/>
            </a:rPr>
            <a:t>Miten rehuntuotantoa voidaan kehittää?</a:t>
          </a:r>
        </a:p>
      </xdr:txBody>
    </xdr:sp>
    <xdr:clientData/>
  </xdr:twoCellAnchor>
  <xdr:twoCellAnchor>
    <xdr:from>
      <xdr:col>30</xdr:col>
      <xdr:colOff>0</xdr:colOff>
      <xdr:row>56</xdr:row>
      <xdr:rowOff>0</xdr:rowOff>
    </xdr:from>
    <xdr:to>
      <xdr:col>34</xdr:col>
      <xdr:colOff>19050</xdr:colOff>
      <xdr:row>68</xdr:row>
      <xdr:rowOff>161925</xdr:rowOff>
    </xdr:to>
    <xdr:sp macro="" textlink="" fLocksText="0">
      <xdr:nvSpPr>
        <xdr:cNvPr id="12" name="Tekstiruutu 11">
          <a:extLst>
            <a:ext uri="{FF2B5EF4-FFF2-40B4-BE49-F238E27FC236}">
              <a16:creationId xmlns:a16="http://schemas.microsoft.com/office/drawing/2014/main" id="{00000000-0008-0000-0400-00000C000000}"/>
            </a:ext>
          </a:extLst>
        </xdr:cNvPr>
        <xdr:cNvSpPr txBox="1"/>
      </xdr:nvSpPr>
      <xdr:spPr>
        <a:xfrm>
          <a:off x="15544800" y="10601325"/>
          <a:ext cx="2457450" cy="2447925"/>
        </a:xfrm>
        <a:prstGeom prst="rect">
          <a:avLst/>
        </a:prstGeom>
        <a:solidFill>
          <a:srgbClr val="FFFF99"/>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fi-FI" sz="1000">
              <a:latin typeface="+mj-lt"/>
            </a:rPr>
            <a:t>Lisätietoja:</a:t>
          </a:r>
        </a:p>
      </xdr:txBody>
    </xdr:sp>
    <xdr:clientData/>
  </xdr:twoCellAnchor>
  <xdr:twoCellAnchor>
    <xdr:from>
      <xdr:col>26</xdr:col>
      <xdr:colOff>361950</xdr:colOff>
      <xdr:row>71</xdr:row>
      <xdr:rowOff>9525</xdr:rowOff>
    </xdr:from>
    <xdr:to>
      <xdr:col>28</xdr:col>
      <xdr:colOff>171450</xdr:colOff>
      <xdr:row>74</xdr:row>
      <xdr:rowOff>171450</xdr:rowOff>
    </xdr:to>
    <xdr:sp macro="" textlink="">
      <xdr:nvSpPr>
        <xdr:cNvPr id="13" name="Pyöristetty suorakulmio 12" descr="Klikkaa tästä!" title="Siirry alkuun">
          <a:hlinkClick xmlns:r="http://schemas.openxmlformats.org/officeDocument/2006/relationships" r:id="rId3"/>
          <a:extLst>
            <a:ext uri="{FF2B5EF4-FFF2-40B4-BE49-F238E27FC236}">
              <a16:creationId xmlns:a16="http://schemas.microsoft.com/office/drawing/2014/main" id="{00000000-0008-0000-0400-00000D000000}"/>
            </a:ext>
          </a:extLst>
        </xdr:cNvPr>
        <xdr:cNvSpPr/>
      </xdr:nvSpPr>
      <xdr:spPr>
        <a:xfrm>
          <a:off x="14325600" y="13487400"/>
          <a:ext cx="1028700" cy="733425"/>
        </a:xfrm>
        <a:prstGeom prst="roundRect">
          <a:avLst/>
        </a:prstGeom>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fi-FI" sz="1600"/>
            <a:t>Siirry alkuun</a:t>
          </a:r>
        </a:p>
      </xdr:txBody>
    </xdr:sp>
    <xdr:clientData/>
  </xdr:twoCellAnchor>
  <xdr:twoCellAnchor>
    <xdr:from>
      <xdr:col>23</xdr:col>
      <xdr:colOff>523875</xdr:colOff>
      <xdr:row>71</xdr:row>
      <xdr:rowOff>19050</xdr:rowOff>
    </xdr:from>
    <xdr:to>
      <xdr:col>26</xdr:col>
      <xdr:colOff>180975</xdr:colOff>
      <xdr:row>74</xdr:row>
      <xdr:rowOff>180975</xdr:rowOff>
    </xdr:to>
    <xdr:sp macro="" textlink="">
      <xdr:nvSpPr>
        <xdr:cNvPr id="15" name="Pyöristetty suorakulmio 14" descr="Klikkaa tästä!" title="Siirry alkuun">
          <a:hlinkClick xmlns:r="http://schemas.openxmlformats.org/officeDocument/2006/relationships" r:id="rId4"/>
          <a:extLst>
            <a:ext uri="{FF2B5EF4-FFF2-40B4-BE49-F238E27FC236}">
              <a16:creationId xmlns:a16="http://schemas.microsoft.com/office/drawing/2014/main" id="{00000000-0008-0000-0400-00000F000000}"/>
            </a:ext>
          </a:extLst>
        </xdr:cNvPr>
        <xdr:cNvSpPr/>
      </xdr:nvSpPr>
      <xdr:spPr>
        <a:xfrm>
          <a:off x="12658725" y="13496925"/>
          <a:ext cx="1485900" cy="733425"/>
        </a:xfrm>
        <a:prstGeom prst="roundRect">
          <a:avLst/>
        </a:prstGeom>
        <a:solidFill>
          <a:srgbClr val="98F20F"/>
        </a:solidFill>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fi-FI" sz="1800"/>
            <a:t>Lähtötiedot</a:t>
          </a:r>
          <a:endParaRPr lang="fi-FI" sz="1400"/>
        </a:p>
      </xdr:txBody>
    </xdr:sp>
    <xdr:clientData/>
  </xdr:twoCellAnchor>
  <xdr:twoCellAnchor editAs="oneCell">
    <xdr:from>
      <xdr:col>1</xdr:col>
      <xdr:colOff>0</xdr:colOff>
      <xdr:row>0</xdr:row>
      <xdr:rowOff>0</xdr:rowOff>
    </xdr:from>
    <xdr:to>
      <xdr:col>3</xdr:col>
      <xdr:colOff>762000</xdr:colOff>
      <xdr:row>0</xdr:row>
      <xdr:rowOff>340045</xdr:rowOff>
    </xdr:to>
    <xdr:pic>
      <xdr:nvPicPr>
        <xdr:cNvPr id="14" name="Kuva 13">
          <a:extLst>
            <a:ext uri="{FF2B5EF4-FFF2-40B4-BE49-F238E27FC236}">
              <a16:creationId xmlns:a16="http://schemas.microsoft.com/office/drawing/2014/main" id="{00000000-0008-0000-0400-00000E000000}"/>
            </a:ext>
          </a:extLst>
        </xdr:cNvPr>
        <xdr:cNvPicPr>
          <a:picLocks noChangeAspect="1"/>
        </xdr:cNvPicPr>
      </xdr:nvPicPr>
      <xdr:blipFill rotWithShape="1">
        <a:blip xmlns:r="http://schemas.openxmlformats.org/officeDocument/2006/relationships" r:embed="rId5"/>
        <a:srcRect l="4914" t="19635" r="9124" b="32923"/>
        <a:stretch/>
      </xdr:blipFill>
      <xdr:spPr>
        <a:xfrm>
          <a:off x="180975" y="0"/>
          <a:ext cx="1123950" cy="339138"/>
        </a:xfrm>
        <a:prstGeom prst="rect">
          <a:avLst/>
        </a:prstGeom>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pic>
    <xdr:clientData/>
  </xdr:twoCellAnchor>
</xdr:wsDr>
</file>

<file path=xl/drawings/drawing6.xml><?xml version="1.0" encoding="utf-8"?>
<xdr:wsDr xmlns:xdr="http://schemas.openxmlformats.org/drawingml/2006/spreadsheetDrawing" xmlns:a="http://schemas.openxmlformats.org/drawingml/2006/main">
  <xdr:twoCellAnchor>
    <xdr:from>
      <xdr:col>16</xdr:col>
      <xdr:colOff>104775</xdr:colOff>
      <xdr:row>12</xdr:row>
      <xdr:rowOff>180975</xdr:rowOff>
    </xdr:from>
    <xdr:to>
      <xdr:col>18</xdr:col>
      <xdr:colOff>1343024</xdr:colOff>
      <xdr:row>24</xdr:row>
      <xdr:rowOff>138112</xdr:rowOff>
    </xdr:to>
    <xdr:graphicFrame macro="">
      <xdr:nvGraphicFramePr>
        <xdr:cNvPr id="4" name="Kaavio 3">
          <a:extLst>
            <a:ext uri="{FF2B5EF4-FFF2-40B4-BE49-F238E27FC236}">
              <a16:creationId xmlns:a16="http://schemas.microsoft.com/office/drawing/2014/main" id="{00000000-0008-0000-05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16</xdr:col>
      <xdr:colOff>2019300</xdr:colOff>
      <xdr:row>23</xdr:row>
      <xdr:rowOff>9526</xdr:rowOff>
    </xdr:from>
    <xdr:to>
      <xdr:col>16</xdr:col>
      <xdr:colOff>3990975</xdr:colOff>
      <xdr:row>35</xdr:row>
      <xdr:rowOff>166687</xdr:rowOff>
    </xdr:to>
    <xdr:graphicFrame macro="">
      <xdr:nvGraphicFramePr>
        <xdr:cNvPr id="7" name="Kaavio 6">
          <a:extLst>
            <a:ext uri="{FF2B5EF4-FFF2-40B4-BE49-F238E27FC236}">
              <a16:creationId xmlns:a16="http://schemas.microsoft.com/office/drawing/2014/main" id="{00000000-0008-0000-05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16</xdr:col>
      <xdr:colOff>95250</xdr:colOff>
      <xdr:row>2</xdr:row>
      <xdr:rowOff>95250</xdr:rowOff>
    </xdr:from>
    <xdr:to>
      <xdr:col>18</xdr:col>
      <xdr:colOff>1343025</xdr:colOff>
      <xdr:row>12</xdr:row>
      <xdr:rowOff>47625</xdr:rowOff>
    </xdr:to>
    <xdr:sp macro="" textlink="">
      <xdr:nvSpPr>
        <xdr:cNvPr id="8" name="Tekstiruutu 7">
          <a:extLst>
            <a:ext uri="{FF2B5EF4-FFF2-40B4-BE49-F238E27FC236}">
              <a16:creationId xmlns:a16="http://schemas.microsoft.com/office/drawing/2014/main" id="{00000000-0008-0000-0500-000008000000}"/>
            </a:ext>
          </a:extLst>
        </xdr:cNvPr>
        <xdr:cNvSpPr txBox="1"/>
      </xdr:nvSpPr>
      <xdr:spPr>
        <a:xfrm>
          <a:off x="10153650" y="571500"/>
          <a:ext cx="4010025" cy="2038350"/>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900">
              <a:latin typeface="+mj-lt"/>
            </a:rPr>
            <a:t>1. Täydennä ostorehut ja rehumyynnit keltaisiin soluihin</a:t>
          </a:r>
        </a:p>
        <a:p>
          <a:r>
            <a:rPr lang="fi-FI" sz="900">
              <a:latin typeface="+mj-lt"/>
            </a:rPr>
            <a:t>      -&gt;</a:t>
          </a:r>
          <a:r>
            <a:rPr lang="fi-FI" sz="900" baseline="0">
              <a:latin typeface="+mj-lt"/>
            </a:rPr>
            <a:t> €Nurmi laskee säilörehun nettosadon</a:t>
          </a:r>
          <a:endParaRPr lang="fi-FI" sz="900">
            <a:latin typeface="+mj-lt"/>
          </a:endParaRPr>
        </a:p>
        <a:p>
          <a:r>
            <a:rPr lang="fi-FI" sz="900">
              <a:latin typeface="+mj-lt"/>
            </a:rPr>
            <a:t>2. Vertaa säilörehun bruttosatoa nettosatoon </a:t>
          </a:r>
        </a:p>
        <a:p>
          <a:r>
            <a:rPr lang="fi-FI" sz="900">
              <a:latin typeface="+mj-lt"/>
            </a:rPr>
            <a:t>      - korjattua satoa ruokinnassa</a:t>
          </a:r>
          <a:r>
            <a:rPr lang="fi-FI" sz="900" baseline="0">
              <a:latin typeface="+mj-lt"/>
            </a:rPr>
            <a:t> käytettyyn rehumäärään</a:t>
          </a:r>
        </a:p>
        <a:p>
          <a:r>
            <a:rPr lang="fi-FI" sz="900" baseline="0">
              <a:latin typeface="+mj-lt"/>
            </a:rPr>
            <a:t>3. Vertaa säilörehun varastointi- ja ruokintahävikkiä tavoitearvoihin</a:t>
          </a:r>
        </a:p>
        <a:p>
          <a:r>
            <a:rPr lang="fi-FI" sz="900" baseline="0">
              <a:latin typeface="+mj-lt"/>
            </a:rPr>
            <a:t>      - Mikäli nettosato on epärealistinen </a:t>
          </a:r>
        </a:p>
        <a:p>
          <a:r>
            <a:rPr lang="fi-FI" sz="900" baseline="0">
              <a:latin typeface="+mj-lt"/>
            </a:rPr>
            <a:t>      - Mikäli hävikki on epärealistisen alhainen tai arveluttavan korkea</a:t>
          </a:r>
        </a:p>
        <a:p>
          <a:r>
            <a:rPr lang="fi-FI" sz="900" baseline="0">
              <a:solidFill>
                <a:schemeClr val="dk1"/>
              </a:solidFill>
              <a:effectLst/>
              <a:latin typeface="+mj-lt"/>
              <a:ea typeface="+mn-ea"/>
              <a:cs typeface="+mn-cs"/>
            </a:rPr>
            <a:t>      -&gt; Tarkista/korjaa eläinmäärät ja tuotokset, rehualat, sadot, </a:t>
          </a:r>
        </a:p>
        <a:p>
          <a:r>
            <a:rPr lang="fi-FI" sz="900" baseline="0">
              <a:solidFill>
                <a:schemeClr val="dk1"/>
              </a:solidFill>
              <a:effectLst/>
              <a:latin typeface="+mj-lt"/>
              <a:ea typeface="+mn-ea"/>
              <a:cs typeface="+mn-cs"/>
            </a:rPr>
            <a:t>           rehuostot ja -myynnit...</a:t>
          </a:r>
          <a:endParaRPr lang="fi-FI" sz="900" baseline="0">
            <a:latin typeface="+mj-lt"/>
          </a:endParaRPr>
        </a:p>
        <a:p>
          <a:r>
            <a:rPr lang="fi-FI" sz="900" baseline="0">
              <a:latin typeface="+mj-lt"/>
            </a:rPr>
            <a:t>4. Tarkista pitävätkö lähtötiedot paikkansa</a:t>
          </a:r>
        </a:p>
        <a:p>
          <a:r>
            <a:rPr lang="fi-FI" sz="900" baseline="0">
              <a:latin typeface="+mj-lt"/>
            </a:rPr>
            <a:t>      - vastaako eläinmäärä käytäntöä</a:t>
          </a:r>
        </a:p>
        <a:p>
          <a:r>
            <a:rPr lang="fi-FI" sz="900" baseline="0">
              <a:latin typeface="+mj-lt"/>
            </a:rPr>
            <a:t>      - vastaako myyty/tuotettu määrä esim. kirjanpitoa</a:t>
          </a:r>
        </a:p>
        <a:p>
          <a:r>
            <a:rPr lang="fi-FI" sz="900" baseline="0">
              <a:latin typeface="+mj-lt"/>
            </a:rPr>
            <a:t>5. Muuta/korjaa tarvittaessa lähtötietoja</a:t>
          </a:r>
          <a:endParaRPr lang="fi-FI" sz="900">
            <a:latin typeface="+mj-lt"/>
          </a:endParaRPr>
        </a:p>
      </xdr:txBody>
    </xdr:sp>
    <xdr:clientData/>
  </xdr:twoCellAnchor>
  <xdr:twoCellAnchor>
    <xdr:from>
      <xdr:col>25</xdr:col>
      <xdr:colOff>0</xdr:colOff>
      <xdr:row>2</xdr:row>
      <xdr:rowOff>0</xdr:rowOff>
    </xdr:from>
    <xdr:to>
      <xdr:col>33</xdr:col>
      <xdr:colOff>0</xdr:colOff>
      <xdr:row>12</xdr:row>
      <xdr:rowOff>85725</xdr:rowOff>
    </xdr:to>
    <xdr:sp macro="" textlink="" fLocksText="0">
      <xdr:nvSpPr>
        <xdr:cNvPr id="9" name="Tekstiruutu 8">
          <a:extLst>
            <a:ext uri="{FF2B5EF4-FFF2-40B4-BE49-F238E27FC236}">
              <a16:creationId xmlns:a16="http://schemas.microsoft.com/office/drawing/2014/main" id="{00000000-0008-0000-0500-000009000000}"/>
            </a:ext>
          </a:extLst>
        </xdr:cNvPr>
        <xdr:cNvSpPr txBox="1"/>
      </xdr:nvSpPr>
      <xdr:spPr>
        <a:xfrm>
          <a:off x="17411700" y="476250"/>
          <a:ext cx="5086350" cy="1790700"/>
        </a:xfrm>
        <a:prstGeom prst="rect">
          <a:avLst/>
        </a:prstGeom>
        <a:solidFill>
          <a:srgbClr val="FFFF99"/>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fi-FI" sz="1000">
              <a:latin typeface="+mj-lt"/>
            </a:rPr>
            <a:t>Pitävätkö lähtötiedot paikkansa?</a:t>
          </a:r>
        </a:p>
      </xdr:txBody>
    </xdr:sp>
    <xdr:clientData/>
  </xdr:twoCellAnchor>
  <xdr:twoCellAnchor>
    <xdr:from>
      <xdr:col>25</xdr:col>
      <xdr:colOff>0</xdr:colOff>
      <xdr:row>12</xdr:row>
      <xdr:rowOff>180975</xdr:rowOff>
    </xdr:from>
    <xdr:to>
      <xdr:col>33</xdr:col>
      <xdr:colOff>0</xdr:colOff>
      <xdr:row>21</xdr:row>
      <xdr:rowOff>95250</xdr:rowOff>
    </xdr:to>
    <xdr:sp macro="" textlink="" fLocksText="0">
      <xdr:nvSpPr>
        <xdr:cNvPr id="10" name="Tekstiruutu 9">
          <a:extLst>
            <a:ext uri="{FF2B5EF4-FFF2-40B4-BE49-F238E27FC236}">
              <a16:creationId xmlns:a16="http://schemas.microsoft.com/office/drawing/2014/main" id="{00000000-0008-0000-0500-00000A000000}"/>
            </a:ext>
          </a:extLst>
        </xdr:cNvPr>
        <xdr:cNvSpPr txBox="1"/>
      </xdr:nvSpPr>
      <xdr:spPr>
        <a:xfrm>
          <a:off x="17411700" y="2362200"/>
          <a:ext cx="5086350" cy="1847850"/>
        </a:xfrm>
        <a:prstGeom prst="rect">
          <a:avLst/>
        </a:prstGeom>
        <a:solidFill>
          <a:srgbClr val="FFFF99"/>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fi-FI" sz="1000">
              <a:solidFill>
                <a:schemeClr val="dk1"/>
              </a:solidFill>
              <a:latin typeface="+mj-lt"/>
              <a:ea typeface="+mn-ea"/>
              <a:cs typeface="+mn-cs"/>
            </a:rPr>
            <a:t>Vertaile säilörehun tuotantoa ja käyttöä, määritä hävikki. </a:t>
          </a:r>
        </a:p>
      </xdr:txBody>
    </xdr:sp>
    <xdr:clientData/>
  </xdr:twoCellAnchor>
  <xdr:twoCellAnchor>
    <xdr:from>
      <xdr:col>25</xdr:col>
      <xdr:colOff>0</xdr:colOff>
      <xdr:row>22</xdr:row>
      <xdr:rowOff>0</xdr:rowOff>
    </xdr:from>
    <xdr:to>
      <xdr:col>33</xdr:col>
      <xdr:colOff>0</xdr:colOff>
      <xdr:row>31</xdr:row>
      <xdr:rowOff>85725</xdr:rowOff>
    </xdr:to>
    <xdr:sp macro="" textlink="" fLocksText="0">
      <xdr:nvSpPr>
        <xdr:cNvPr id="11" name="Tekstiruutu 10">
          <a:extLst>
            <a:ext uri="{FF2B5EF4-FFF2-40B4-BE49-F238E27FC236}">
              <a16:creationId xmlns:a16="http://schemas.microsoft.com/office/drawing/2014/main" id="{00000000-0008-0000-0500-00000B000000}"/>
            </a:ext>
          </a:extLst>
        </xdr:cNvPr>
        <xdr:cNvSpPr txBox="1"/>
      </xdr:nvSpPr>
      <xdr:spPr>
        <a:xfrm>
          <a:off x="17411700" y="4314825"/>
          <a:ext cx="5086350" cy="1847850"/>
        </a:xfrm>
        <a:prstGeom prst="rect">
          <a:avLst/>
        </a:prstGeom>
        <a:solidFill>
          <a:srgbClr val="FFFF99"/>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fi-FI" sz="1000">
              <a:solidFill>
                <a:schemeClr val="dk1"/>
              </a:solidFill>
              <a:latin typeface="+mj-lt"/>
              <a:ea typeface="+mn-ea"/>
              <a:cs typeface="+mn-cs"/>
            </a:rPr>
            <a:t>Vertaile säilörehun tuotantokustannuksen vaikutusta lopputuotteen hintaan.</a:t>
          </a:r>
        </a:p>
        <a:p>
          <a:pPr marL="0" marR="0" lvl="0" indent="0" defTabSz="914400" eaLnBrk="1" fontAlgn="auto" latinLnBrk="0" hangingPunct="1">
            <a:lnSpc>
              <a:spcPct val="100000"/>
            </a:lnSpc>
            <a:spcBef>
              <a:spcPts val="0"/>
            </a:spcBef>
            <a:spcAft>
              <a:spcPts val="0"/>
            </a:spcAft>
            <a:buClrTx/>
            <a:buSzTx/>
            <a:buFontTx/>
            <a:buNone/>
            <a:tabLst/>
            <a:defRPr/>
          </a:pPr>
          <a:r>
            <a:rPr lang="fi-FI" sz="1000">
              <a:solidFill>
                <a:schemeClr val="dk1"/>
              </a:solidFill>
              <a:latin typeface="+mj-lt"/>
              <a:ea typeface="+mn-ea"/>
              <a:cs typeface="+mn-cs"/>
            </a:rPr>
            <a:t>Pohdi millä toimenpiteillä siihen voi vaikuttaa:</a:t>
          </a:r>
        </a:p>
      </xdr:txBody>
    </xdr:sp>
    <xdr:clientData/>
  </xdr:twoCellAnchor>
  <xdr:twoCellAnchor>
    <xdr:from>
      <xdr:col>25</xdr:col>
      <xdr:colOff>0</xdr:colOff>
      <xdr:row>32</xdr:row>
      <xdr:rowOff>0</xdr:rowOff>
    </xdr:from>
    <xdr:to>
      <xdr:col>33</xdr:col>
      <xdr:colOff>0</xdr:colOff>
      <xdr:row>36</xdr:row>
      <xdr:rowOff>0</xdr:rowOff>
    </xdr:to>
    <xdr:sp macro="" textlink="" fLocksText="0">
      <xdr:nvSpPr>
        <xdr:cNvPr id="12" name="Tekstiruutu 11">
          <a:extLst>
            <a:ext uri="{FF2B5EF4-FFF2-40B4-BE49-F238E27FC236}">
              <a16:creationId xmlns:a16="http://schemas.microsoft.com/office/drawing/2014/main" id="{00000000-0008-0000-0500-00000C000000}"/>
            </a:ext>
          </a:extLst>
        </xdr:cNvPr>
        <xdr:cNvSpPr txBox="1"/>
      </xdr:nvSpPr>
      <xdr:spPr>
        <a:xfrm>
          <a:off x="17411700" y="6267450"/>
          <a:ext cx="5086350" cy="828675"/>
        </a:xfrm>
        <a:prstGeom prst="rect">
          <a:avLst/>
        </a:prstGeom>
        <a:solidFill>
          <a:srgbClr val="FFFF99"/>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fi-FI" sz="1000">
              <a:solidFill>
                <a:schemeClr val="dk1"/>
              </a:solidFill>
              <a:latin typeface="+mj-lt"/>
              <a:ea typeface="+mn-ea"/>
              <a:cs typeface="+mn-cs"/>
            </a:rPr>
            <a:t>Pohdi väkirehujen ja ostorehujen käyttöä.</a:t>
          </a:r>
        </a:p>
      </xdr:txBody>
    </xdr:sp>
    <xdr:clientData/>
  </xdr:twoCellAnchor>
  <xdr:twoCellAnchor>
    <xdr:from>
      <xdr:col>31</xdr:col>
      <xdr:colOff>171450</xdr:colOff>
      <xdr:row>37</xdr:row>
      <xdr:rowOff>104775</xdr:rowOff>
    </xdr:from>
    <xdr:to>
      <xdr:col>32</xdr:col>
      <xdr:colOff>590550</xdr:colOff>
      <xdr:row>40</xdr:row>
      <xdr:rowOff>104775</xdr:rowOff>
    </xdr:to>
    <xdr:sp macro="" textlink="">
      <xdr:nvSpPr>
        <xdr:cNvPr id="13" name="Pyöristetty suorakulmio 12" descr="Klikkaa tästä!" title="Siirry alkuun">
          <a:hlinkClick xmlns:r="http://schemas.openxmlformats.org/officeDocument/2006/relationships" r:id="rId3"/>
          <a:extLst>
            <a:ext uri="{FF2B5EF4-FFF2-40B4-BE49-F238E27FC236}">
              <a16:creationId xmlns:a16="http://schemas.microsoft.com/office/drawing/2014/main" id="{00000000-0008-0000-0500-00000D000000}"/>
            </a:ext>
          </a:extLst>
        </xdr:cNvPr>
        <xdr:cNvSpPr/>
      </xdr:nvSpPr>
      <xdr:spPr>
        <a:xfrm>
          <a:off x="18421350" y="7686675"/>
          <a:ext cx="1028700" cy="733425"/>
        </a:xfrm>
        <a:prstGeom prst="roundRect">
          <a:avLst/>
        </a:prstGeom>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fi-FI" sz="1600"/>
            <a:t>Siirry alkuun</a:t>
          </a:r>
        </a:p>
      </xdr:txBody>
    </xdr:sp>
    <xdr:clientData/>
  </xdr:twoCellAnchor>
  <xdr:twoCellAnchor>
    <xdr:from>
      <xdr:col>7</xdr:col>
      <xdr:colOff>361950</xdr:colOff>
      <xdr:row>80</xdr:row>
      <xdr:rowOff>9525</xdr:rowOff>
    </xdr:from>
    <xdr:to>
      <xdr:col>8</xdr:col>
      <xdr:colOff>676275</xdr:colOff>
      <xdr:row>83</xdr:row>
      <xdr:rowOff>171450</xdr:rowOff>
    </xdr:to>
    <xdr:sp macro="" textlink="">
      <xdr:nvSpPr>
        <xdr:cNvPr id="14" name="Pyöristetty suorakulmio 13" descr="Klikkaa tästä!" title="Siirry alkuun">
          <a:hlinkClick xmlns:r="http://schemas.openxmlformats.org/officeDocument/2006/relationships" r:id="rId4"/>
          <a:extLst>
            <a:ext uri="{FF2B5EF4-FFF2-40B4-BE49-F238E27FC236}">
              <a16:creationId xmlns:a16="http://schemas.microsoft.com/office/drawing/2014/main" id="{00000000-0008-0000-0500-00000E000000}"/>
            </a:ext>
          </a:extLst>
        </xdr:cNvPr>
        <xdr:cNvSpPr/>
      </xdr:nvSpPr>
      <xdr:spPr>
        <a:xfrm>
          <a:off x="4295775" y="16202025"/>
          <a:ext cx="1028700" cy="733425"/>
        </a:xfrm>
        <a:prstGeom prst="roundRect">
          <a:avLst/>
        </a:prstGeom>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fi-FI" sz="1600"/>
            <a:t>Siirry alkuun</a:t>
          </a:r>
        </a:p>
      </xdr:txBody>
    </xdr:sp>
    <xdr:clientData/>
  </xdr:twoCellAnchor>
  <xdr:twoCellAnchor editAs="oneCell">
    <xdr:from>
      <xdr:col>1</xdr:col>
      <xdr:colOff>0</xdr:colOff>
      <xdr:row>0</xdr:row>
      <xdr:rowOff>0</xdr:rowOff>
    </xdr:from>
    <xdr:to>
      <xdr:col>3</xdr:col>
      <xdr:colOff>228600</xdr:colOff>
      <xdr:row>0</xdr:row>
      <xdr:rowOff>339138</xdr:rowOff>
    </xdr:to>
    <xdr:pic>
      <xdr:nvPicPr>
        <xdr:cNvPr id="15" name="Kuva 14">
          <a:extLst>
            <a:ext uri="{FF2B5EF4-FFF2-40B4-BE49-F238E27FC236}">
              <a16:creationId xmlns:a16="http://schemas.microsoft.com/office/drawing/2014/main" id="{00000000-0008-0000-0500-00000F000000}"/>
            </a:ext>
          </a:extLst>
        </xdr:cNvPr>
        <xdr:cNvPicPr>
          <a:picLocks noChangeAspect="1"/>
        </xdr:cNvPicPr>
      </xdr:nvPicPr>
      <xdr:blipFill rotWithShape="1">
        <a:blip xmlns:r="http://schemas.openxmlformats.org/officeDocument/2006/relationships" r:embed="rId5"/>
        <a:srcRect l="4914" t="19635" r="9124" b="32923"/>
        <a:stretch/>
      </xdr:blipFill>
      <xdr:spPr>
        <a:xfrm>
          <a:off x="180975" y="0"/>
          <a:ext cx="1123950" cy="339138"/>
        </a:xfrm>
        <a:prstGeom prst="rect">
          <a:avLst/>
        </a:prstGeom>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pic>
    <xdr:clientData/>
  </xdr:twoCellAnchor>
  <xdr:twoCellAnchor>
    <xdr:from>
      <xdr:col>5</xdr:col>
      <xdr:colOff>257175</xdr:colOff>
      <xdr:row>80</xdr:row>
      <xdr:rowOff>9525</xdr:rowOff>
    </xdr:from>
    <xdr:to>
      <xdr:col>7</xdr:col>
      <xdr:colOff>247650</xdr:colOff>
      <xdr:row>83</xdr:row>
      <xdr:rowOff>171450</xdr:rowOff>
    </xdr:to>
    <xdr:sp macro="" textlink="">
      <xdr:nvSpPr>
        <xdr:cNvPr id="16" name="Pyöristetty suorakulmio 15" descr="Klikkaa tästä!" title="Siirry alkuun">
          <a:hlinkClick xmlns:r="http://schemas.openxmlformats.org/officeDocument/2006/relationships" r:id="rId3"/>
          <a:extLst>
            <a:ext uri="{FF2B5EF4-FFF2-40B4-BE49-F238E27FC236}">
              <a16:creationId xmlns:a16="http://schemas.microsoft.com/office/drawing/2014/main" id="{00000000-0008-0000-0500-000010000000}"/>
            </a:ext>
          </a:extLst>
        </xdr:cNvPr>
        <xdr:cNvSpPr/>
      </xdr:nvSpPr>
      <xdr:spPr>
        <a:xfrm>
          <a:off x="2762250" y="16221075"/>
          <a:ext cx="1419225" cy="733425"/>
        </a:xfrm>
        <a:prstGeom prst="roundRect">
          <a:avLst/>
        </a:prstGeom>
        <a:solidFill>
          <a:srgbClr val="98F20F"/>
        </a:solidFill>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fi-FI" sz="1800"/>
            <a:t>Lähtötiedot</a:t>
          </a:r>
          <a:endParaRPr lang="fi-FI" sz="1400"/>
        </a:p>
      </xdr:txBody>
    </xdr:sp>
    <xdr:clientData/>
  </xdr:twoCellAnchor>
  <xdr:twoCellAnchor>
    <xdr:from>
      <xdr:col>10</xdr:col>
      <xdr:colOff>0</xdr:colOff>
      <xdr:row>36</xdr:row>
      <xdr:rowOff>190499</xdr:rowOff>
    </xdr:from>
    <xdr:to>
      <xdr:col>15</xdr:col>
      <xdr:colOff>523875</xdr:colOff>
      <xdr:row>50</xdr:row>
      <xdr:rowOff>180974</xdr:rowOff>
    </xdr:to>
    <xdr:sp macro="" textlink="" fLocksText="0">
      <xdr:nvSpPr>
        <xdr:cNvPr id="17" name="Tekstiruutu 16">
          <a:extLst>
            <a:ext uri="{FF2B5EF4-FFF2-40B4-BE49-F238E27FC236}">
              <a16:creationId xmlns:a16="http://schemas.microsoft.com/office/drawing/2014/main" id="{00000000-0008-0000-0500-000011000000}"/>
            </a:ext>
          </a:extLst>
        </xdr:cNvPr>
        <xdr:cNvSpPr txBox="1"/>
      </xdr:nvSpPr>
      <xdr:spPr>
        <a:xfrm>
          <a:off x="5543550" y="7600949"/>
          <a:ext cx="4505325" cy="2828925"/>
        </a:xfrm>
        <a:prstGeom prst="rect">
          <a:avLst/>
        </a:prstGeom>
        <a:solidFill>
          <a:srgbClr val="FFFF99"/>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fi-FI" sz="1000">
              <a:latin typeface="+mj-lt"/>
            </a:rPr>
            <a:t>Lisätietoja ostorehuista</a:t>
          </a:r>
        </a:p>
      </xdr:txBody>
    </xdr:sp>
    <xdr:clientData/>
  </xdr:twoCellAnchor>
  <xdr:twoCellAnchor>
    <xdr:from>
      <xdr:col>10</xdr:col>
      <xdr:colOff>0</xdr:colOff>
      <xdr:row>51</xdr:row>
      <xdr:rowOff>190499</xdr:rowOff>
    </xdr:from>
    <xdr:to>
      <xdr:col>15</xdr:col>
      <xdr:colOff>523875</xdr:colOff>
      <xdr:row>65</xdr:row>
      <xdr:rowOff>180974</xdr:rowOff>
    </xdr:to>
    <xdr:sp macro="" textlink="" fLocksText="0">
      <xdr:nvSpPr>
        <xdr:cNvPr id="19" name="Tekstiruutu 18">
          <a:extLst>
            <a:ext uri="{FF2B5EF4-FFF2-40B4-BE49-F238E27FC236}">
              <a16:creationId xmlns:a16="http://schemas.microsoft.com/office/drawing/2014/main" id="{00000000-0008-0000-0500-000013000000}"/>
            </a:ext>
          </a:extLst>
        </xdr:cNvPr>
        <xdr:cNvSpPr txBox="1"/>
      </xdr:nvSpPr>
      <xdr:spPr>
        <a:xfrm>
          <a:off x="5543550" y="7600949"/>
          <a:ext cx="4505325" cy="2828925"/>
        </a:xfrm>
        <a:prstGeom prst="rect">
          <a:avLst/>
        </a:prstGeom>
        <a:solidFill>
          <a:srgbClr val="FFFF99"/>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fi-FI" sz="1000">
              <a:latin typeface="+mj-lt"/>
            </a:rPr>
            <a:t>Lisätietoja ostorehuista</a:t>
          </a:r>
        </a:p>
      </xdr:txBody>
    </xdr:sp>
    <xdr:clientData/>
  </xdr:twoCellAnchor>
  <xdr:twoCellAnchor>
    <xdr:from>
      <xdr:col>10</xdr:col>
      <xdr:colOff>0</xdr:colOff>
      <xdr:row>66</xdr:row>
      <xdr:rowOff>190499</xdr:rowOff>
    </xdr:from>
    <xdr:to>
      <xdr:col>15</xdr:col>
      <xdr:colOff>523875</xdr:colOff>
      <xdr:row>78</xdr:row>
      <xdr:rowOff>180975</xdr:rowOff>
    </xdr:to>
    <xdr:sp macro="" textlink="" fLocksText="0">
      <xdr:nvSpPr>
        <xdr:cNvPr id="20" name="Tekstiruutu 19">
          <a:extLst>
            <a:ext uri="{FF2B5EF4-FFF2-40B4-BE49-F238E27FC236}">
              <a16:creationId xmlns:a16="http://schemas.microsoft.com/office/drawing/2014/main" id="{00000000-0008-0000-0500-000014000000}"/>
            </a:ext>
          </a:extLst>
        </xdr:cNvPr>
        <xdr:cNvSpPr txBox="1"/>
      </xdr:nvSpPr>
      <xdr:spPr>
        <a:xfrm>
          <a:off x="5543550" y="13611224"/>
          <a:ext cx="4505325" cy="2400301"/>
        </a:xfrm>
        <a:prstGeom prst="rect">
          <a:avLst/>
        </a:prstGeom>
        <a:solidFill>
          <a:srgbClr val="FFFF99"/>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fi-FI" sz="1000">
              <a:latin typeface="+mj-lt"/>
            </a:rPr>
            <a:t>Lisätietoja ostorehuista</a:t>
          </a:r>
        </a:p>
      </xdr:txBody>
    </xdr:sp>
    <xdr:clientData/>
  </xdr:twoCellAnchor>
  <xdr:twoCellAnchor>
    <xdr:from>
      <xdr:col>16</xdr:col>
      <xdr:colOff>114300</xdr:colOff>
      <xdr:row>25</xdr:row>
      <xdr:rowOff>9526</xdr:rowOff>
    </xdr:from>
    <xdr:to>
      <xdr:col>18</xdr:col>
      <xdr:colOff>1362075</xdr:colOff>
      <xdr:row>36</xdr:row>
      <xdr:rowOff>9526</xdr:rowOff>
    </xdr:to>
    <xdr:sp macro="" textlink="" fLocksText="0">
      <xdr:nvSpPr>
        <xdr:cNvPr id="21" name="Tekstiruutu 20">
          <a:extLst>
            <a:ext uri="{FF2B5EF4-FFF2-40B4-BE49-F238E27FC236}">
              <a16:creationId xmlns:a16="http://schemas.microsoft.com/office/drawing/2014/main" id="{00000000-0008-0000-0500-000015000000}"/>
            </a:ext>
          </a:extLst>
        </xdr:cNvPr>
        <xdr:cNvSpPr txBox="1"/>
      </xdr:nvSpPr>
      <xdr:spPr>
        <a:xfrm>
          <a:off x="10172700" y="5305426"/>
          <a:ext cx="4010025" cy="2114550"/>
        </a:xfrm>
        <a:prstGeom prst="rect">
          <a:avLst/>
        </a:prstGeom>
        <a:solidFill>
          <a:srgbClr val="FFFF99"/>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fi-FI" sz="1000">
              <a:latin typeface="+mj-lt"/>
            </a:rPr>
            <a:t>Lisätietoja</a:t>
          </a: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29</xdr:col>
      <xdr:colOff>219075</xdr:colOff>
      <xdr:row>2</xdr:row>
      <xdr:rowOff>9525</xdr:rowOff>
    </xdr:from>
    <xdr:to>
      <xdr:col>37</xdr:col>
      <xdr:colOff>608942</xdr:colOff>
      <xdr:row>42</xdr:row>
      <xdr:rowOff>29391</xdr:rowOff>
    </xdr:to>
    <xdr:pic>
      <xdr:nvPicPr>
        <xdr:cNvPr id="2" name="Kuva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stretch>
          <a:fillRect/>
        </a:stretch>
      </xdr:blipFill>
      <xdr:spPr>
        <a:xfrm>
          <a:off x="12068175" y="485775"/>
          <a:ext cx="5266667" cy="7980952"/>
        </a:xfrm>
        <a:prstGeom prst="rect">
          <a:avLst/>
        </a:prstGeom>
      </xdr:spPr>
    </xdr:pic>
    <xdr:clientData/>
  </xdr:twoCellAnchor>
  <xdr:twoCellAnchor editAs="oneCell">
    <xdr:from>
      <xdr:col>1</xdr:col>
      <xdr:colOff>53429</xdr:colOff>
      <xdr:row>8</xdr:row>
      <xdr:rowOff>9526</xdr:rowOff>
    </xdr:from>
    <xdr:to>
      <xdr:col>8</xdr:col>
      <xdr:colOff>38100</xdr:colOff>
      <xdr:row>18</xdr:row>
      <xdr:rowOff>86492</xdr:rowOff>
    </xdr:to>
    <xdr:pic>
      <xdr:nvPicPr>
        <xdr:cNvPr id="4" name="Kuva 3">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2"/>
        <a:stretch>
          <a:fillRect/>
        </a:stretch>
      </xdr:blipFill>
      <xdr:spPr>
        <a:xfrm>
          <a:off x="234404" y="1885951"/>
          <a:ext cx="3651796" cy="1993305"/>
        </a:xfrm>
        <a:prstGeom prst="rect">
          <a:avLst/>
        </a:prstGeom>
      </xdr:spPr>
    </xdr:pic>
    <xdr:clientData/>
  </xdr:twoCellAnchor>
  <xdr:twoCellAnchor editAs="oneCell">
    <xdr:from>
      <xdr:col>19</xdr:col>
      <xdr:colOff>95250</xdr:colOff>
      <xdr:row>8</xdr:row>
      <xdr:rowOff>19050</xdr:rowOff>
    </xdr:from>
    <xdr:to>
      <xdr:col>28</xdr:col>
      <xdr:colOff>8614</xdr:colOff>
      <xdr:row>22</xdr:row>
      <xdr:rowOff>183662</xdr:rowOff>
    </xdr:to>
    <xdr:pic>
      <xdr:nvPicPr>
        <xdr:cNvPr id="6" name="Kuva 5">
          <a:extLst>
            <a:ext uri="{FF2B5EF4-FFF2-40B4-BE49-F238E27FC236}">
              <a16:creationId xmlns:a16="http://schemas.microsoft.com/office/drawing/2014/main" id="{00000000-0008-0000-0600-000006000000}"/>
            </a:ext>
          </a:extLst>
        </xdr:cNvPr>
        <xdr:cNvPicPr>
          <a:picLocks noChangeAspect="1"/>
        </xdr:cNvPicPr>
      </xdr:nvPicPr>
      <xdr:blipFill>
        <a:blip xmlns:r="http://schemas.openxmlformats.org/officeDocument/2006/relationships" r:embed="rId3"/>
        <a:stretch>
          <a:fillRect/>
        </a:stretch>
      </xdr:blipFill>
      <xdr:spPr>
        <a:xfrm>
          <a:off x="9791700" y="1895475"/>
          <a:ext cx="5401578" cy="2846580"/>
        </a:xfrm>
        <a:prstGeom prst="rect">
          <a:avLst/>
        </a:prstGeom>
      </xdr:spPr>
    </xdr:pic>
    <xdr:clientData/>
  </xdr:twoCellAnchor>
  <xdr:twoCellAnchor editAs="oneCell">
    <xdr:from>
      <xdr:col>8</xdr:col>
      <xdr:colOff>85724</xdr:colOff>
      <xdr:row>8</xdr:row>
      <xdr:rowOff>19050</xdr:rowOff>
    </xdr:from>
    <xdr:to>
      <xdr:col>19</xdr:col>
      <xdr:colOff>29482</xdr:colOff>
      <xdr:row>18</xdr:row>
      <xdr:rowOff>81708</xdr:rowOff>
    </xdr:to>
    <xdr:pic>
      <xdr:nvPicPr>
        <xdr:cNvPr id="7" name="Kuva 6">
          <a:extLst>
            <a:ext uri="{FF2B5EF4-FFF2-40B4-BE49-F238E27FC236}">
              <a16:creationId xmlns:a16="http://schemas.microsoft.com/office/drawing/2014/main" id="{00000000-0008-0000-0600-000007000000}"/>
            </a:ext>
          </a:extLst>
        </xdr:cNvPr>
        <xdr:cNvPicPr>
          <a:picLocks noChangeAspect="1"/>
        </xdr:cNvPicPr>
      </xdr:nvPicPr>
      <xdr:blipFill>
        <a:blip xmlns:r="http://schemas.openxmlformats.org/officeDocument/2006/relationships" r:embed="rId4"/>
        <a:stretch>
          <a:fillRect/>
        </a:stretch>
      </xdr:blipFill>
      <xdr:spPr>
        <a:xfrm>
          <a:off x="3933824" y="1895475"/>
          <a:ext cx="5791201" cy="1978090"/>
        </a:xfrm>
        <a:prstGeom prst="rect">
          <a:avLst/>
        </a:prstGeom>
      </xdr:spPr>
    </xdr:pic>
    <xdr:clientData/>
  </xdr:twoCellAnchor>
  <xdr:twoCellAnchor>
    <xdr:from>
      <xdr:col>9</xdr:col>
      <xdr:colOff>47624</xdr:colOff>
      <xdr:row>19</xdr:row>
      <xdr:rowOff>9524</xdr:rowOff>
    </xdr:from>
    <xdr:to>
      <xdr:col>19</xdr:col>
      <xdr:colOff>9525</xdr:colOff>
      <xdr:row>41</xdr:row>
      <xdr:rowOff>161925</xdr:rowOff>
    </xdr:to>
    <xdr:sp macro="" textlink="" fLocksText="0">
      <xdr:nvSpPr>
        <xdr:cNvPr id="8" name="Tekstiruutu 7">
          <a:extLst>
            <a:ext uri="{FF2B5EF4-FFF2-40B4-BE49-F238E27FC236}">
              <a16:creationId xmlns:a16="http://schemas.microsoft.com/office/drawing/2014/main" id="{00000000-0008-0000-0600-000008000000}"/>
            </a:ext>
          </a:extLst>
        </xdr:cNvPr>
        <xdr:cNvSpPr txBox="1"/>
      </xdr:nvSpPr>
      <xdr:spPr>
        <a:xfrm>
          <a:off x="18707099" y="4143374"/>
          <a:ext cx="5200651" cy="4343401"/>
        </a:xfrm>
        <a:prstGeom prst="rect">
          <a:avLst/>
        </a:prstGeom>
        <a:solidFill>
          <a:srgbClr val="FFFF99"/>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fi-FI" sz="1050">
              <a:latin typeface="+mj-lt"/>
            </a:rPr>
            <a:t>Millä toimenpiteillä hävikkiä voi pienentää ja ennaltaehkäistä?</a:t>
          </a:r>
        </a:p>
        <a:p>
          <a:pPr marL="0" marR="0" lvl="0" indent="0" defTabSz="914400" eaLnBrk="1" fontAlgn="auto" latinLnBrk="0" hangingPunct="1">
            <a:lnSpc>
              <a:spcPct val="100000"/>
            </a:lnSpc>
            <a:spcBef>
              <a:spcPts val="0"/>
            </a:spcBef>
            <a:spcAft>
              <a:spcPts val="0"/>
            </a:spcAft>
            <a:buClrTx/>
            <a:buSzTx/>
            <a:buFontTx/>
            <a:buNone/>
            <a:tabLst/>
            <a:defRPr/>
          </a:pPr>
          <a:r>
            <a:rPr lang="fi-FI" sz="1050">
              <a:solidFill>
                <a:schemeClr val="dk1"/>
              </a:solidFill>
              <a:latin typeface="+mj-lt"/>
              <a:ea typeface="+mn-ea"/>
              <a:cs typeface="+mn-cs"/>
            </a:rPr>
            <a:t>Arvioi hävikkiin vaikuttava tekijät:</a:t>
          </a:r>
        </a:p>
        <a:p>
          <a:pPr marL="0" marR="0" lvl="0" indent="0" defTabSz="914400" eaLnBrk="1" fontAlgn="auto" latinLnBrk="0" hangingPunct="1">
            <a:lnSpc>
              <a:spcPct val="100000"/>
            </a:lnSpc>
            <a:spcBef>
              <a:spcPts val="0"/>
            </a:spcBef>
            <a:spcAft>
              <a:spcPts val="0"/>
            </a:spcAft>
            <a:buClrTx/>
            <a:buSzTx/>
            <a:buFontTx/>
            <a:buNone/>
            <a:tabLst/>
            <a:defRPr/>
          </a:pPr>
          <a:endParaRPr lang="fi-FI" sz="1050">
            <a:latin typeface="+mj-lt"/>
          </a:endParaRPr>
        </a:p>
      </xdr:txBody>
    </xdr:sp>
    <xdr:clientData/>
  </xdr:twoCellAnchor>
  <xdr:twoCellAnchor>
    <xdr:from>
      <xdr:col>19</xdr:col>
      <xdr:colOff>114301</xdr:colOff>
      <xdr:row>23</xdr:row>
      <xdr:rowOff>104774</xdr:rowOff>
    </xdr:from>
    <xdr:to>
      <xdr:col>28</xdr:col>
      <xdr:colOff>19051</xdr:colOff>
      <xdr:row>41</xdr:row>
      <xdr:rowOff>161925</xdr:rowOff>
    </xdr:to>
    <xdr:sp macro="" textlink="" fLocksText="0">
      <xdr:nvSpPr>
        <xdr:cNvPr id="9" name="Tekstiruutu 8">
          <a:extLst>
            <a:ext uri="{FF2B5EF4-FFF2-40B4-BE49-F238E27FC236}">
              <a16:creationId xmlns:a16="http://schemas.microsoft.com/office/drawing/2014/main" id="{00000000-0008-0000-0600-000009000000}"/>
            </a:ext>
          </a:extLst>
        </xdr:cNvPr>
        <xdr:cNvSpPr txBox="1"/>
      </xdr:nvSpPr>
      <xdr:spPr>
        <a:xfrm>
          <a:off x="24012526" y="5000624"/>
          <a:ext cx="5391150" cy="3486151"/>
        </a:xfrm>
        <a:prstGeom prst="rect">
          <a:avLst/>
        </a:prstGeom>
        <a:solidFill>
          <a:srgbClr val="FFFF99"/>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fi-FI" sz="1050">
              <a:latin typeface="+mj-lt"/>
            </a:rPr>
            <a:t>Ovatko säilörehun rehuarvotulokset luotettavia?</a:t>
          </a:r>
        </a:p>
        <a:p>
          <a:pPr marL="0" marR="0" lvl="0" indent="0" defTabSz="914400" eaLnBrk="1" fontAlgn="auto" latinLnBrk="0" hangingPunct="1">
            <a:lnSpc>
              <a:spcPct val="100000"/>
            </a:lnSpc>
            <a:spcBef>
              <a:spcPts val="0"/>
            </a:spcBef>
            <a:spcAft>
              <a:spcPts val="0"/>
            </a:spcAft>
            <a:buClrTx/>
            <a:buSzTx/>
            <a:buFontTx/>
            <a:buNone/>
            <a:tabLst/>
            <a:defRPr/>
          </a:pPr>
          <a:r>
            <a:rPr lang="fi-FI" sz="1050">
              <a:latin typeface="+mj-lt"/>
            </a:rPr>
            <a:t>Miten säilörehun näytteenottoa pitäisi tilalla kehittää?</a:t>
          </a:r>
        </a:p>
      </xdr:txBody>
    </xdr:sp>
    <xdr:clientData/>
  </xdr:twoCellAnchor>
  <xdr:twoCellAnchor editAs="oneCell">
    <xdr:from>
      <xdr:col>1</xdr:col>
      <xdr:colOff>0</xdr:colOff>
      <xdr:row>0</xdr:row>
      <xdr:rowOff>0</xdr:rowOff>
    </xdr:from>
    <xdr:to>
      <xdr:col>3</xdr:col>
      <xdr:colOff>762000</xdr:colOff>
      <xdr:row>0</xdr:row>
      <xdr:rowOff>340045</xdr:rowOff>
    </xdr:to>
    <xdr:pic>
      <xdr:nvPicPr>
        <xdr:cNvPr id="12" name="Kuva 11">
          <a:extLst>
            <a:ext uri="{FF2B5EF4-FFF2-40B4-BE49-F238E27FC236}">
              <a16:creationId xmlns:a16="http://schemas.microsoft.com/office/drawing/2014/main" id="{00000000-0008-0000-0600-00000C000000}"/>
            </a:ext>
          </a:extLst>
        </xdr:cNvPr>
        <xdr:cNvPicPr>
          <a:picLocks noChangeAspect="1"/>
        </xdr:cNvPicPr>
      </xdr:nvPicPr>
      <xdr:blipFill rotWithShape="1">
        <a:blip xmlns:r="http://schemas.openxmlformats.org/officeDocument/2006/relationships" r:embed="rId5"/>
        <a:srcRect l="4914" t="19635" r="9124" b="32923"/>
        <a:stretch/>
      </xdr:blipFill>
      <xdr:spPr>
        <a:xfrm>
          <a:off x="180975" y="0"/>
          <a:ext cx="1123950" cy="339138"/>
        </a:xfrm>
        <a:prstGeom prst="rect">
          <a:avLst/>
        </a:prstGeom>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pic>
    <xdr:clientData/>
  </xdr:twoCellAnchor>
  <xdr:twoCellAnchor>
    <xdr:from>
      <xdr:col>0</xdr:col>
      <xdr:colOff>171449</xdr:colOff>
      <xdr:row>2</xdr:row>
      <xdr:rowOff>1</xdr:rowOff>
    </xdr:from>
    <xdr:to>
      <xdr:col>10</xdr:col>
      <xdr:colOff>600074</xdr:colOff>
      <xdr:row>5</xdr:row>
      <xdr:rowOff>19050</xdr:rowOff>
    </xdr:to>
    <xdr:sp macro="" textlink="">
      <xdr:nvSpPr>
        <xdr:cNvPr id="13" name="Tekstiruutu 12">
          <a:extLst>
            <a:ext uri="{FF2B5EF4-FFF2-40B4-BE49-F238E27FC236}">
              <a16:creationId xmlns:a16="http://schemas.microsoft.com/office/drawing/2014/main" id="{00000000-0008-0000-0600-00000D000000}"/>
            </a:ext>
          </a:extLst>
        </xdr:cNvPr>
        <xdr:cNvSpPr txBox="1"/>
      </xdr:nvSpPr>
      <xdr:spPr>
        <a:xfrm>
          <a:off x="14373224" y="523876"/>
          <a:ext cx="5495925" cy="752474"/>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900">
              <a:latin typeface="+mj-lt"/>
            </a:rPr>
            <a:t>1. Tähän on koottu yhteenvetona Säilörehun tuotantotiedot, varastointihävikki ja rehuanalyysin tulokset </a:t>
          </a:r>
        </a:p>
        <a:p>
          <a:r>
            <a:rPr lang="fi-FI" sz="900">
              <a:latin typeface="+mj-lt"/>
            </a:rPr>
            <a:t>2. Perehdy</a:t>
          </a:r>
          <a:r>
            <a:rPr lang="fi-FI" sz="900" baseline="0">
              <a:latin typeface="+mj-lt"/>
            </a:rPr>
            <a:t> </a:t>
          </a:r>
          <a:r>
            <a:rPr lang="fi-FI" sz="900">
              <a:latin typeface="+mj-lt"/>
            </a:rPr>
            <a:t>aineiston avulla varastointihävikin syntyyn ja rehuanalyysin näytteenoton ohjeisiin</a:t>
          </a:r>
          <a:endParaRPr lang="fi-FI" sz="900" baseline="0">
            <a:latin typeface="+mj-lt"/>
          </a:endParaRPr>
        </a:p>
        <a:p>
          <a:pPr eaLnBrk="1" fontAlgn="auto" latinLnBrk="0" hangingPunct="1"/>
          <a:r>
            <a:rPr lang="fi-FI" sz="900" baseline="0">
              <a:latin typeface="+mj-lt"/>
            </a:rPr>
            <a:t>3. </a:t>
          </a:r>
          <a:r>
            <a:rPr lang="fi-FI" sz="900">
              <a:solidFill>
                <a:schemeClr val="dk1"/>
              </a:solidFill>
              <a:effectLst/>
              <a:latin typeface="+mj-lt"/>
              <a:ea typeface="+mn-ea"/>
              <a:cs typeface="+mn-cs"/>
            </a:rPr>
            <a:t>Arvioi hävikkiin vaikuttava tekijät</a:t>
          </a:r>
          <a:endParaRPr lang="fi-FI" sz="900">
            <a:effectLst/>
            <a:latin typeface="+mj-lt"/>
          </a:endParaRPr>
        </a:p>
        <a:p>
          <a:pPr eaLnBrk="1" fontAlgn="auto" latinLnBrk="0" hangingPunct="1"/>
          <a:r>
            <a:rPr lang="fi-FI" sz="900" baseline="0">
              <a:latin typeface="+mj-lt"/>
            </a:rPr>
            <a:t>4. </a:t>
          </a:r>
          <a:r>
            <a:rPr lang="fi-FI" sz="900">
              <a:solidFill>
                <a:schemeClr val="dk1"/>
              </a:solidFill>
              <a:effectLst/>
              <a:latin typeface="+mj-lt"/>
              <a:ea typeface="+mn-ea"/>
              <a:cs typeface="+mn-cs"/>
            </a:rPr>
            <a:t>Millä toimenpiteillä hävikkiä voi pienentää ja ennaltaehkäistä?</a:t>
          </a:r>
          <a:endParaRPr lang="fi-FI" sz="900">
            <a:effectLst/>
            <a:latin typeface="+mj-lt"/>
          </a:endParaRPr>
        </a:p>
      </xdr:txBody>
    </xdr:sp>
    <xdr:clientData/>
  </xdr:twoCellAnchor>
  <xdr:twoCellAnchor>
    <xdr:from>
      <xdr:col>26</xdr:col>
      <xdr:colOff>361950</xdr:colOff>
      <xdr:row>43</xdr:row>
      <xdr:rowOff>9525</xdr:rowOff>
    </xdr:from>
    <xdr:to>
      <xdr:col>28</xdr:col>
      <xdr:colOff>171450</xdr:colOff>
      <xdr:row>46</xdr:row>
      <xdr:rowOff>171450</xdr:rowOff>
    </xdr:to>
    <xdr:sp macro="" textlink="">
      <xdr:nvSpPr>
        <xdr:cNvPr id="18" name="Pyöristetty suorakulmio 17" descr="Klikkaa tästä!" title="Siirry alkuun">
          <a:hlinkClick xmlns:r="http://schemas.openxmlformats.org/officeDocument/2006/relationships" r:id="rId6"/>
          <a:extLst>
            <a:ext uri="{FF2B5EF4-FFF2-40B4-BE49-F238E27FC236}">
              <a16:creationId xmlns:a16="http://schemas.microsoft.com/office/drawing/2014/main" id="{00000000-0008-0000-0600-000012000000}"/>
            </a:ext>
          </a:extLst>
        </xdr:cNvPr>
        <xdr:cNvSpPr/>
      </xdr:nvSpPr>
      <xdr:spPr>
        <a:xfrm>
          <a:off x="14325600" y="13515975"/>
          <a:ext cx="1028700" cy="733425"/>
        </a:xfrm>
        <a:prstGeom prst="roundRect">
          <a:avLst/>
        </a:prstGeom>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fi-FI" sz="1600"/>
            <a:t>Siirry alkuun</a:t>
          </a:r>
        </a:p>
      </xdr:txBody>
    </xdr:sp>
    <xdr:clientData/>
  </xdr:twoCellAnchor>
  <xdr:twoCellAnchor>
    <xdr:from>
      <xdr:col>23</xdr:col>
      <xdr:colOff>523875</xdr:colOff>
      <xdr:row>43</xdr:row>
      <xdr:rowOff>19050</xdr:rowOff>
    </xdr:from>
    <xdr:to>
      <xdr:col>26</xdr:col>
      <xdr:colOff>180975</xdr:colOff>
      <xdr:row>46</xdr:row>
      <xdr:rowOff>180975</xdr:rowOff>
    </xdr:to>
    <xdr:sp macro="" textlink="">
      <xdr:nvSpPr>
        <xdr:cNvPr id="19" name="Pyöristetty suorakulmio 18" descr="Klikkaa tästä!" title="Siirry alkuun">
          <a:hlinkClick xmlns:r="http://schemas.openxmlformats.org/officeDocument/2006/relationships" r:id="rId7"/>
          <a:extLst>
            <a:ext uri="{FF2B5EF4-FFF2-40B4-BE49-F238E27FC236}">
              <a16:creationId xmlns:a16="http://schemas.microsoft.com/office/drawing/2014/main" id="{00000000-0008-0000-0600-000013000000}"/>
            </a:ext>
          </a:extLst>
        </xdr:cNvPr>
        <xdr:cNvSpPr/>
      </xdr:nvSpPr>
      <xdr:spPr>
        <a:xfrm>
          <a:off x="12658725" y="13525500"/>
          <a:ext cx="1485900" cy="733425"/>
        </a:xfrm>
        <a:prstGeom prst="roundRect">
          <a:avLst/>
        </a:prstGeom>
        <a:solidFill>
          <a:srgbClr val="98F20F"/>
        </a:solidFill>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fi-FI" sz="1800"/>
            <a:t>Lähtötiedot</a:t>
          </a:r>
          <a:endParaRPr lang="fi-FI" sz="1400"/>
        </a:p>
      </xdr:txBody>
    </xdr:sp>
    <xdr:clientData/>
  </xdr:twoCellAnchor>
  <xdr:twoCellAnchor>
    <xdr:from>
      <xdr:col>2</xdr:col>
      <xdr:colOff>9525</xdr:colOff>
      <xdr:row>28</xdr:row>
      <xdr:rowOff>76200</xdr:rowOff>
    </xdr:from>
    <xdr:to>
      <xdr:col>8</xdr:col>
      <xdr:colOff>581025</xdr:colOff>
      <xdr:row>41</xdr:row>
      <xdr:rowOff>109537</xdr:rowOff>
    </xdr:to>
    <xdr:graphicFrame macro="">
      <xdr:nvGraphicFramePr>
        <xdr:cNvPr id="14" name="Kaavio 13">
          <a:extLst>
            <a:ext uri="{FF2B5EF4-FFF2-40B4-BE49-F238E27FC236}">
              <a16:creationId xmlns:a16="http://schemas.microsoft.com/office/drawing/2014/main" id="{00000000-0008-0000-06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9</xdr:col>
      <xdr:colOff>171450</xdr:colOff>
      <xdr:row>40</xdr:row>
      <xdr:rowOff>38100</xdr:rowOff>
    </xdr:from>
    <xdr:to>
      <xdr:col>17</xdr:col>
      <xdr:colOff>9525</xdr:colOff>
      <xdr:row>60</xdr:row>
      <xdr:rowOff>0</xdr:rowOff>
    </xdr:to>
    <xdr:graphicFrame macro="">
      <xdr:nvGraphicFramePr>
        <xdr:cNvPr id="3" name="Kaavio 2">
          <a:extLst>
            <a:ext uri="{FF2B5EF4-FFF2-40B4-BE49-F238E27FC236}">
              <a16:creationId xmlns:a16="http://schemas.microsoft.com/office/drawing/2014/main" id="{00000000-0008-0000-07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171450</xdr:colOff>
      <xdr:row>40</xdr:row>
      <xdr:rowOff>42861</xdr:rowOff>
    </xdr:from>
    <xdr:to>
      <xdr:col>9</xdr:col>
      <xdr:colOff>0</xdr:colOff>
      <xdr:row>59</xdr:row>
      <xdr:rowOff>180974</xdr:rowOff>
    </xdr:to>
    <xdr:graphicFrame macro="">
      <xdr:nvGraphicFramePr>
        <xdr:cNvPr id="4" name="Kaavio 3">
          <a:extLst>
            <a:ext uri="{FF2B5EF4-FFF2-40B4-BE49-F238E27FC236}">
              <a16:creationId xmlns:a16="http://schemas.microsoft.com/office/drawing/2014/main" id="{00000000-0008-0000-07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22</xdr:col>
      <xdr:colOff>704850</xdr:colOff>
      <xdr:row>0</xdr:row>
      <xdr:rowOff>28575</xdr:rowOff>
    </xdr:from>
    <xdr:to>
      <xdr:col>25</xdr:col>
      <xdr:colOff>9525</xdr:colOff>
      <xdr:row>1</xdr:row>
      <xdr:rowOff>95250</xdr:rowOff>
    </xdr:to>
    <xdr:sp macro="" textlink="">
      <xdr:nvSpPr>
        <xdr:cNvPr id="6" name="Nuoli oikealle 5">
          <a:hlinkClick xmlns:r="http://schemas.openxmlformats.org/officeDocument/2006/relationships" r:id="rId3"/>
          <a:extLst>
            <a:ext uri="{FF2B5EF4-FFF2-40B4-BE49-F238E27FC236}">
              <a16:creationId xmlns:a16="http://schemas.microsoft.com/office/drawing/2014/main" id="{00000000-0008-0000-0700-000006000000}"/>
            </a:ext>
          </a:extLst>
        </xdr:cNvPr>
        <xdr:cNvSpPr/>
      </xdr:nvSpPr>
      <xdr:spPr>
        <a:xfrm>
          <a:off x="14220825" y="28575"/>
          <a:ext cx="1447800" cy="361950"/>
        </a:xfrm>
        <a:prstGeom prst="rightArrow">
          <a:avLst/>
        </a:prstGeom>
        <a:solidFill>
          <a:schemeClr val="accent4">
            <a:lumMod val="75000"/>
          </a:schemeClr>
        </a:solidFill>
        <a:effectLst>
          <a:outerShdw blurRad="63500" sx="102000" sy="102000" algn="ct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fi-FI" sz="1100"/>
            <a:t>Laskelmien vertailu</a:t>
          </a:r>
        </a:p>
      </xdr:txBody>
    </xdr:sp>
    <xdr:clientData/>
  </xdr:twoCellAnchor>
  <xdr:twoCellAnchor>
    <xdr:from>
      <xdr:col>29</xdr:col>
      <xdr:colOff>9524</xdr:colOff>
      <xdr:row>3</xdr:row>
      <xdr:rowOff>0</xdr:rowOff>
    </xdr:from>
    <xdr:to>
      <xdr:col>30</xdr:col>
      <xdr:colOff>2447924</xdr:colOff>
      <xdr:row>7</xdr:row>
      <xdr:rowOff>114300</xdr:rowOff>
    </xdr:to>
    <xdr:sp macro="" textlink="">
      <xdr:nvSpPr>
        <xdr:cNvPr id="7" name="Tekstiruutu 6">
          <a:extLst>
            <a:ext uri="{FF2B5EF4-FFF2-40B4-BE49-F238E27FC236}">
              <a16:creationId xmlns:a16="http://schemas.microsoft.com/office/drawing/2014/main" id="{00000000-0008-0000-0700-000007000000}"/>
            </a:ext>
          </a:extLst>
        </xdr:cNvPr>
        <xdr:cNvSpPr txBox="1"/>
      </xdr:nvSpPr>
      <xdr:spPr>
        <a:xfrm>
          <a:off x="17592674" y="771525"/>
          <a:ext cx="4410075" cy="990600"/>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100" baseline="0">
              <a:solidFill>
                <a:schemeClr val="dk1"/>
              </a:solidFill>
              <a:effectLst/>
              <a:latin typeface="+mj-lt"/>
              <a:ea typeface="+mn-ea"/>
              <a:cs typeface="+mn-cs"/>
            </a:rPr>
            <a:t>Vertaile säilörehun tuotantokustannusta (hyvä, erinomainen)</a:t>
          </a:r>
          <a:endParaRPr lang="fi-FI" sz="1000">
            <a:effectLst/>
            <a:latin typeface="+mj-lt"/>
          </a:endParaRPr>
        </a:p>
      </xdr:txBody>
    </xdr:sp>
    <xdr:clientData/>
  </xdr:twoCellAnchor>
  <xdr:twoCellAnchor>
    <xdr:from>
      <xdr:col>32</xdr:col>
      <xdr:colOff>9524</xdr:colOff>
      <xdr:row>2</xdr:row>
      <xdr:rowOff>238125</xdr:rowOff>
    </xdr:from>
    <xdr:to>
      <xdr:col>33</xdr:col>
      <xdr:colOff>0</xdr:colOff>
      <xdr:row>7</xdr:row>
      <xdr:rowOff>104775</xdr:rowOff>
    </xdr:to>
    <xdr:sp macro="" textlink="">
      <xdr:nvSpPr>
        <xdr:cNvPr id="8" name="Tekstiruutu 7">
          <a:extLst>
            <a:ext uri="{FF2B5EF4-FFF2-40B4-BE49-F238E27FC236}">
              <a16:creationId xmlns:a16="http://schemas.microsoft.com/office/drawing/2014/main" id="{00000000-0008-0000-0700-000008000000}"/>
            </a:ext>
          </a:extLst>
        </xdr:cNvPr>
        <xdr:cNvSpPr txBox="1"/>
      </xdr:nvSpPr>
      <xdr:spPr>
        <a:xfrm>
          <a:off x="22193249" y="762000"/>
          <a:ext cx="4791076" cy="990600"/>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lang="fi-FI" sz="1100" baseline="0">
              <a:solidFill>
                <a:schemeClr val="dk1"/>
              </a:solidFill>
              <a:effectLst/>
              <a:latin typeface="+mj-lt"/>
              <a:ea typeface="+mn-ea"/>
              <a:cs typeface="+mn-cs"/>
            </a:rPr>
            <a:t>Pohdi millä toimenpiteillä kustannuksia voidaan alentaa?</a:t>
          </a:r>
        </a:p>
      </xdr:txBody>
    </xdr:sp>
    <xdr:clientData/>
  </xdr:twoCellAnchor>
  <xdr:twoCellAnchor>
    <xdr:from>
      <xdr:col>32</xdr:col>
      <xdr:colOff>3305175</xdr:colOff>
      <xdr:row>0</xdr:row>
      <xdr:rowOff>47626</xdr:rowOff>
    </xdr:from>
    <xdr:to>
      <xdr:col>32</xdr:col>
      <xdr:colOff>4772025</xdr:colOff>
      <xdr:row>1</xdr:row>
      <xdr:rowOff>76201</xdr:rowOff>
    </xdr:to>
    <xdr:sp macro="" textlink="">
      <xdr:nvSpPr>
        <xdr:cNvPr id="9" name="Nuoli vasemmalle 8">
          <a:hlinkClick xmlns:r="http://schemas.openxmlformats.org/officeDocument/2006/relationships" r:id="rId4"/>
          <a:extLst>
            <a:ext uri="{FF2B5EF4-FFF2-40B4-BE49-F238E27FC236}">
              <a16:creationId xmlns:a16="http://schemas.microsoft.com/office/drawing/2014/main" id="{00000000-0008-0000-0700-000009000000}"/>
            </a:ext>
          </a:extLst>
        </xdr:cNvPr>
        <xdr:cNvSpPr/>
      </xdr:nvSpPr>
      <xdr:spPr>
        <a:xfrm>
          <a:off x="25488900" y="47626"/>
          <a:ext cx="1466850" cy="323850"/>
        </a:xfrm>
        <a:prstGeom prst="leftArrow">
          <a:avLst/>
        </a:prstGeom>
        <a:solidFill>
          <a:srgbClr val="FF66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i-FI" sz="1100"/>
            <a:t>Palaa alkuun</a:t>
          </a:r>
        </a:p>
      </xdr:txBody>
    </xdr:sp>
    <xdr:clientData/>
  </xdr:twoCellAnchor>
  <xdr:twoCellAnchor>
    <xdr:from>
      <xdr:col>21</xdr:col>
      <xdr:colOff>28575</xdr:colOff>
      <xdr:row>2</xdr:row>
      <xdr:rowOff>19051</xdr:rowOff>
    </xdr:from>
    <xdr:to>
      <xdr:col>26</xdr:col>
      <xdr:colOff>685800</xdr:colOff>
      <xdr:row>7</xdr:row>
      <xdr:rowOff>133350</xdr:rowOff>
    </xdr:to>
    <xdr:sp macro="" textlink="">
      <xdr:nvSpPr>
        <xdr:cNvPr id="10" name="Tekstiruutu 9">
          <a:extLst>
            <a:ext uri="{FF2B5EF4-FFF2-40B4-BE49-F238E27FC236}">
              <a16:creationId xmlns:a16="http://schemas.microsoft.com/office/drawing/2014/main" id="{00000000-0008-0000-0700-00000A000000}"/>
            </a:ext>
          </a:extLst>
        </xdr:cNvPr>
        <xdr:cNvSpPr txBox="1"/>
      </xdr:nvSpPr>
      <xdr:spPr>
        <a:xfrm>
          <a:off x="12963525" y="542926"/>
          <a:ext cx="4229100" cy="1238249"/>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050">
              <a:latin typeface="+mj-lt"/>
            </a:rPr>
            <a:t>Tällä</a:t>
          </a:r>
          <a:r>
            <a:rPr lang="fi-FI" sz="1050" baseline="0">
              <a:latin typeface="+mj-lt"/>
            </a:rPr>
            <a:t> sivulla lasketaan säilörehun tuotantokustannus</a:t>
          </a:r>
        </a:p>
        <a:p>
          <a:r>
            <a:rPr lang="fi-FI" sz="900" baseline="0">
              <a:latin typeface="+mj-lt"/>
            </a:rPr>
            <a:t>   Säilörehun tuotantokustannus on laskelmassa esitetty myös tuilla vähennettynä,  </a:t>
          </a:r>
        </a:p>
        <a:p>
          <a:r>
            <a:rPr lang="fi-FI" sz="900" baseline="0">
              <a:latin typeface="+mj-lt"/>
            </a:rPr>
            <a:t>   jota käytetään kotieläintuotannossa säilörehun hintana.</a:t>
          </a:r>
        </a:p>
        <a:p>
          <a:pPr marL="0" marR="0" lvl="0" indent="0" defTabSz="914400" eaLnBrk="1" fontAlgn="auto" latinLnBrk="0" hangingPunct="1">
            <a:lnSpc>
              <a:spcPct val="100000"/>
            </a:lnSpc>
            <a:spcBef>
              <a:spcPts val="0"/>
            </a:spcBef>
            <a:spcAft>
              <a:spcPts val="0"/>
            </a:spcAft>
            <a:buClrTx/>
            <a:buSzTx/>
            <a:buFontTx/>
            <a:buNone/>
            <a:tabLst/>
            <a:defRPr/>
          </a:pPr>
          <a:r>
            <a:rPr lang="fi-FI" sz="900" baseline="0">
              <a:latin typeface="+mj-lt"/>
            </a:rPr>
            <a:t>1. Muuta tarvittaessa lähtötietoja (vihreä solu) </a:t>
          </a:r>
        </a:p>
        <a:p>
          <a:pPr marL="0" marR="0" lvl="0" indent="0" defTabSz="914400" eaLnBrk="1" fontAlgn="auto" latinLnBrk="0" hangingPunct="1">
            <a:lnSpc>
              <a:spcPct val="100000"/>
            </a:lnSpc>
            <a:spcBef>
              <a:spcPts val="0"/>
            </a:spcBef>
            <a:spcAft>
              <a:spcPts val="0"/>
            </a:spcAft>
            <a:buClrTx/>
            <a:buSzTx/>
            <a:buFontTx/>
            <a:buNone/>
            <a:tabLst/>
            <a:defRPr/>
          </a:pPr>
          <a:r>
            <a:rPr lang="fi-FI" sz="900">
              <a:solidFill>
                <a:schemeClr val="dk1"/>
              </a:solidFill>
              <a:effectLst/>
              <a:latin typeface="+mj-lt"/>
              <a:ea typeface="+mn-ea"/>
              <a:cs typeface="+mn-cs"/>
            </a:rPr>
            <a:t>      - Toimenpide poistaa automaattisen</a:t>
          </a:r>
          <a:r>
            <a:rPr lang="fi-FI" sz="900" baseline="0">
              <a:solidFill>
                <a:schemeClr val="dk1"/>
              </a:solidFill>
              <a:effectLst/>
              <a:latin typeface="+mj-lt"/>
              <a:ea typeface="+mn-ea"/>
              <a:cs typeface="+mn-cs"/>
            </a:rPr>
            <a:t> kaavan, joten </a:t>
          </a:r>
          <a:r>
            <a:rPr lang="fi-FI" sz="900">
              <a:solidFill>
                <a:schemeClr val="dk1"/>
              </a:solidFill>
              <a:effectLst/>
              <a:latin typeface="+mj-lt"/>
              <a:ea typeface="+mn-ea"/>
              <a:cs typeface="+mn-cs"/>
            </a:rPr>
            <a:t>tallenna ensin eri versiona.</a:t>
          </a:r>
          <a:endParaRPr lang="fi-FI" sz="900">
            <a:effectLst/>
            <a:latin typeface="+mj-lt"/>
          </a:endParaRPr>
        </a:p>
        <a:p>
          <a:r>
            <a:rPr lang="fi-FI" sz="900" baseline="0">
              <a:latin typeface="+mj-lt"/>
            </a:rPr>
            <a:t>2. Vertaile säilörehun tuotantokustannusta (hyvä, erinomainen)</a:t>
          </a:r>
        </a:p>
        <a:p>
          <a:r>
            <a:rPr lang="fi-FI" sz="900" baseline="0">
              <a:latin typeface="+mj-lt"/>
            </a:rPr>
            <a:t>3. Pohdi millä toimenpiteillä kustannuksia voidaan alentaa?</a:t>
          </a:r>
          <a:endParaRPr lang="fi-FI" sz="900">
            <a:latin typeface="+mj-lt"/>
          </a:endParaRPr>
        </a:p>
      </xdr:txBody>
    </xdr:sp>
    <xdr:clientData/>
  </xdr:twoCellAnchor>
  <xdr:twoCellAnchor>
    <xdr:from>
      <xdr:col>22</xdr:col>
      <xdr:colOff>161925</xdr:colOff>
      <xdr:row>0</xdr:row>
      <xdr:rowOff>47625</xdr:rowOff>
    </xdr:from>
    <xdr:to>
      <xdr:col>22</xdr:col>
      <xdr:colOff>561975</xdr:colOff>
      <xdr:row>0</xdr:row>
      <xdr:rowOff>323850</xdr:rowOff>
    </xdr:to>
    <xdr:sp macro="" textlink="">
      <xdr:nvSpPr>
        <xdr:cNvPr id="11" name="Alanuoli 10">
          <a:hlinkClick xmlns:r="http://schemas.openxmlformats.org/officeDocument/2006/relationships" r:id="rId5"/>
          <a:extLst>
            <a:ext uri="{FF2B5EF4-FFF2-40B4-BE49-F238E27FC236}">
              <a16:creationId xmlns:a16="http://schemas.microsoft.com/office/drawing/2014/main" id="{00000000-0008-0000-0700-00000B000000}"/>
            </a:ext>
          </a:extLst>
        </xdr:cNvPr>
        <xdr:cNvSpPr/>
      </xdr:nvSpPr>
      <xdr:spPr>
        <a:xfrm>
          <a:off x="13811250" y="47625"/>
          <a:ext cx="400050" cy="276225"/>
        </a:xfrm>
        <a:prstGeom prst="downArrow">
          <a:avLst/>
        </a:prstGeom>
        <a:effectLst>
          <a:outerShdw blurRad="63500" sx="102000" sy="102000" algn="ct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i-FI" sz="1100"/>
        </a:p>
      </xdr:txBody>
    </xdr:sp>
    <xdr:clientData/>
  </xdr:twoCellAnchor>
  <xdr:twoCellAnchor>
    <xdr:from>
      <xdr:col>14</xdr:col>
      <xdr:colOff>609600</xdr:colOff>
      <xdr:row>3</xdr:row>
      <xdr:rowOff>95250</xdr:rowOff>
    </xdr:from>
    <xdr:to>
      <xdr:col>17</xdr:col>
      <xdr:colOff>123825</xdr:colOff>
      <xdr:row>8</xdr:row>
      <xdr:rowOff>161925</xdr:rowOff>
    </xdr:to>
    <xdr:graphicFrame macro="">
      <xdr:nvGraphicFramePr>
        <xdr:cNvPr id="14" name="Kaavio 13">
          <a:extLst>
            <a:ext uri="{FF2B5EF4-FFF2-40B4-BE49-F238E27FC236}">
              <a16:creationId xmlns:a16="http://schemas.microsoft.com/office/drawing/2014/main" id="{00000000-0008-0000-0700-00000E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32</xdr:col>
      <xdr:colOff>0</xdr:colOff>
      <xdr:row>9</xdr:row>
      <xdr:rowOff>38099</xdr:rowOff>
    </xdr:from>
    <xdr:to>
      <xdr:col>33</xdr:col>
      <xdr:colOff>0</xdr:colOff>
      <xdr:row>22</xdr:row>
      <xdr:rowOff>190499</xdr:rowOff>
    </xdr:to>
    <xdr:sp macro="" textlink="" fLocksText="0">
      <xdr:nvSpPr>
        <xdr:cNvPr id="13" name="Tekstiruutu 12">
          <a:extLst>
            <a:ext uri="{FF2B5EF4-FFF2-40B4-BE49-F238E27FC236}">
              <a16:creationId xmlns:a16="http://schemas.microsoft.com/office/drawing/2014/main" id="{00000000-0008-0000-0700-00000D000000}"/>
            </a:ext>
          </a:extLst>
        </xdr:cNvPr>
        <xdr:cNvSpPr txBox="1"/>
      </xdr:nvSpPr>
      <xdr:spPr>
        <a:xfrm>
          <a:off x="22183725" y="2076449"/>
          <a:ext cx="4800600" cy="2790825"/>
        </a:xfrm>
        <a:prstGeom prst="rect">
          <a:avLst/>
        </a:prstGeom>
        <a:solidFill>
          <a:srgbClr val="FFFF99"/>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lang="fi-FI" sz="1100">
            <a:latin typeface="+mj-lt"/>
          </a:endParaRPr>
        </a:p>
      </xdr:txBody>
    </xdr:sp>
    <xdr:clientData/>
  </xdr:twoCellAnchor>
  <xdr:twoCellAnchor>
    <xdr:from>
      <xdr:col>32</xdr:col>
      <xdr:colOff>0</xdr:colOff>
      <xdr:row>23</xdr:row>
      <xdr:rowOff>38100</xdr:rowOff>
    </xdr:from>
    <xdr:to>
      <xdr:col>33</xdr:col>
      <xdr:colOff>0</xdr:colOff>
      <xdr:row>30</xdr:row>
      <xdr:rowOff>0</xdr:rowOff>
    </xdr:to>
    <xdr:sp macro="" textlink="" fLocksText="0">
      <xdr:nvSpPr>
        <xdr:cNvPr id="15" name="Tekstiruutu 14">
          <a:extLst>
            <a:ext uri="{FF2B5EF4-FFF2-40B4-BE49-F238E27FC236}">
              <a16:creationId xmlns:a16="http://schemas.microsoft.com/office/drawing/2014/main" id="{00000000-0008-0000-0700-00000F000000}"/>
            </a:ext>
          </a:extLst>
        </xdr:cNvPr>
        <xdr:cNvSpPr txBox="1"/>
      </xdr:nvSpPr>
      <xdr:spPr>
        <a:xfrm>
          <a:off x="22183725" y="4914900"/>
          <a:ext cx="4800600" cy="1304925"/>
        </a:xfrm>
        <a:prstGeom prst="rect">
          <a:avLst/>
        </a:prstGeom>
        <a:solidFill>
          <a:srgbClr val="FFFF99"/>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lang="fi-FI" sz="1100">
            <a:latin typeface="+mj-lt"/>
          </a:endParaRPr>
        </a:p>
      </xdr:txBody>
    </xdr:sp>
    <xdr:clientData/>
  </xdr:twoCellAnchor>
  <xdr:twoCellAnchor>
    <xdr:from>
      <xdr:col>32</xdr:col>
      <xdr:colOff>0</xdr:colOff>
      <xdr:row>30</xdr:row>
      <xdr:rowOff>47625</xdr:rowOff>
    </xdr:from>
    <xdr:to>
      <xdr:col>33</xdr:col>
      <xdr:colOff>0</xdr:colOff>
      <xdr:row>38</xdr:row>
      <xdr:rowOff>180975</xdr:rowOff>
    </xdr:to>
    <xdr:sp macro="" textlink="" fLocksText="0">
      <xdr:nvSpPr>
        <xdr:cNvPr id="16" name="Tekstiruutu 15">
          <a:extLst>
            <a:ext uri="{FF2B5EF4-FFF2-40B4-BE49-F238E27FC236}">
              <a16:creationId xmlns:a16="http://schemas.microsoft.com/office/drawing/2014/main" id="{00000000-0008-0000-0700-000010000000}"/>
            </a:ext>
          </a:extLst>
        </xdr:cNvPr>
        <xdr:cNvSpPr txBox="1"/>
      </xdr:nvSpPr>
      <xdr:spPr>
        <a:xfrm>
          <a:off x="22183725" y="6267450"/>
          <a:ext cx="4800600" cy="1733550"/>
        </a:xfrm>
        <a:prstGeom prst="rect">
          <a:avLst/>
        </a:prstGeom>
        <a:solidFill>
          <a:srgbClr val="FFFF99"/>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lang="fi-FI" sz="1100">
            <a:latin typeface="+mj-lt"/>
          </a:endParaRPr>
        </a:p>
      </xdr:txBody>
    </xdr:sp>
    <xdr:clientData/>
  </xdr:twoCellAnchor>
  <xdr:twoCellAnchor>
    <xdr:from>
      <xdr:col>18</xdr:col>
      <xdr:colOff>0</xdr:colOff>
      <xdr:row>40</xdr:row>
      <xdr:rowOff>47625</xdr:rowOff>
    </xdr:from>
    <xdr:to>
      <xdr:col>26</xdr:col>
      <xdr:colOff>704850</xdr:colOff>
      <xdr:row>60</xdr:row>
      <xdr:rowOff>9525</xdr:rowOff>
    </xdr:to>
    <xdr:graphicFrame macro="">
      <xdr:nvGraphicFramePr>
        <xdr:cNvPr id="18" name="Kaavio 17">
          <a:extLst>
            <a:ext uri="{FF2B5EF4-FFF2-40B4-BE49-F238E27FC236}">
              <a16:creationId xmlns:a16="http://schemas.microsoft.com/office/drawing/2014/main" id="{00000000-0008-0000-0700-00001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23</xdr:col>
      <xdr:colOff>647700</xdr:colOff>
      <xdr:row>42</xdr:row>
      <xdr:rowOff>95250</xdr:rowOff>
    </xdr:from>
    <xdr:to>
      <xdr:col>26</xdr:col>
      <xdr:colOff>628650</xdr:colOff>
      <xdr:row>45</xdr:row>
      <xdr:rowOff>133350</xdr:rowOff>
    </xdr:to>
    <xdr:sp macro="" textlink="">
      <xdr:nvSpPr>
        <xdr:cNvPr id="5" name="Tekstiruutu 4">
          <a:extLst>
            <a:ext uri="{FF2B5EF4-FFF2-40B4-BE49-F238E27FC236}">
              <a16:creationId xmlns:a16="http://schemas.microsoft.com/office/drawing/2014/main" id="{00000000-0008-0000-0700-000005000000}"/>
            </a:ext>
          </a:extLst>
        </xdr:cNvPr>
        <xdr:cNvSpPr txBox="1"/>
      </xdr:nvSpPr>
      <xdr:spPr>
        <a:xfrm>
          <a:off x="15011400" y="8724900"/>
          <a:ext cx="2124075" cy="609600"/>
        </a:xfrm>
        <a:prstGeom prst="rect">
          <a:avLst/>
        </a:prstGeom>
        <a:solidFill>
          <a:schemeClr val="accent4">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fi-FI" sz="1100">
              <a:latin typeface="+mj-lt"/>
            </a:rPr>
            <a:t>Vertaile omaa laskelmaa hyvää ja erinomaista tulosta tekevän tilan tuotantokustannukseen</a:t>
          </a:r>
        </a:p>
      </xdr:txBody>
    </xdr:sp>
    <xdr:clientData/>
  </xdr:twoCellAnchor>
  <xdr:twoCellAnchor>
    <xdr:from>
      <xdr:col>25</xdr:col>
      <xdr:colOff>361950</xdr:colOff>
      <xdr:row>62</xdr:row>
      <xdr:rowOff>9525</xdr:rowOff>
    </xdr:from>
    <xdr:to>
      <xdr:col>26</xdr:col>
      <xdr:colOff>609600</xdr:colOff>
      <xdr:row>65</xdr:row>
      <xdr:rowOff>171450</xdr:rowOff>
    </xdr:to>
    <xdr:sp macro="" textlink="">
      <xdr:nvSpPr>
        <xdr:cNvPr id="20" name="Pyöristetty suorakulmio 19" descr="Klikkaa tästä!" title="Siirry alkuun">
          <a:hlinkClick xmlns:r="http://schemas.openxmlformats.org/officeDocument/2006/relationships" r:id="rId8"/>
          <a:extLst>
            <a:ext uri="{FF2B5EF4-FFF2-40B4-BE49-F238E27FC236}">
              <a16:creationId xmlns:a16="http://schemas.microsoft.com/office/drawing/2014/main" id="{00000000-0008-0000-0700-000014000000}"/>
            </a:ext>
          </a:extLst>
        </xdr:cNvPr>
        <xdr:cNvSpPr/>
      </xdr:nvSpPr>
      <xdr:spPr>
        <a:xfrm>
          <a:off x="16154400" y="12420600"/>
          <a:ext cx="962025" cy="733425"/>
        </a:xfrm>
        <a:prstGeom prst="roundRect">
          <a:avLst/>
        </a:prstGeom>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fi-FI" sz="1600"/>
            <a:t>Siirry alkuun</a:t>
          </a:r>
        </a:p>
      </xdr:txBody>
    </xdr:sp>
    <xdr:clientData/>
  </xdr:twoCellAnchor>
  <xdr:twoCellAnchor>
    <xdr:from>
      <xdr:col>22</xdr:col>
      <xdr:colOff>523875</xdr:colOff>
      <xdr:row>62</xdr:row>
      <xdr:rowOff>19050</xdr:rowOff>
    </xdr:from>
    <xdr:to>
      <xdr:col>25</xdr:col>
      <xdr:colOff>180975</xdr:colOff>
      <xdr:row>65</xdr:row>
      <xdr:rowOff>180975</xdr:rowOff>
    </xdr:to>
    <xdr:sp macro="" textlink="">
      <xdr:nvSpPr>
        <xdr:cNvPr id="21" name="Pyöristetty suorakulmio 20" descr="Klikkaa tästä!" title="Siirry alkuun">
          <a:hlinkClick xmlns:r="http://schemas.openxmlformats.org/officeDocument/2006/relationships" r:id="rId9"/>
          <a:extLst>
            <a:ext uri="{FF2B5EF4-FFF2-40B4-BE49-F238E27FC236}">
              <a16:creationId xmlns:a16="http://schemas.microsoft.com/office/drawing/2014/main" id="{00000000-0008-0000-0700-000015000000}"/>
            </a:ext>
          </a:extLst>
        </xdr:cNvPr>
        <xdr:cNvSpPr/>
      </xdr:nvSpPr>
      <xdr:spPr>
        <a:xfrm>
          <a:off x="12658725" y="13496925"/>
          <a:ext cx="1485900" cy="733425"/>
        </a:xfrm>
        <a:prstGeom prst="roundRect">
          <a:avLst/>
        </a:prstGeom>
        <a:solidFill>
          <a:srgbClr val="98F20F"/>
        </a:solidFill>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fi-FI" sz="1800"/>
            <a:t>Lähtötiedot</a:t>
          </a:r>
          <a:endParaRPr lang="fi-FI" sz="1400"/>
        </a:p>
      </xdr:txBody>
    </xdr:sp>
    <xdr:clientData/>
  </xdr:twoCellAnchor>
  <xdr:twoCellAnchor editAs="oneCell">
    <xdr:from>
      <xdr:col>1</xdr:col>
      <xdr:colOff>0</xdr:colOff>
      <xdr:row>0</xdr:row>
      <xdr:rowOff>0</xdr:rowOff>
    </xdr:from>
    <xdr:to>
      <xdr:col>3</xdr:col>
      <xdr:colOff>228600</xdr:colOff>
      <xdr:row>0</xdr:row>
      <xdr:rowOff>340045</xdr:rowOff>
    </xdr:to>
    <xdr:pic>
      <xdr:nvPicPr>
        <xdr:cNvPr id="19" name="Kuva 18">
          <a:extLst>
            <a:ext uri="{FF2B5EF4-FFF2-40B4-BE49-F238E27FC236}">
              <a16:creationId xmlns:a16="http://schemas.microsoft.com/office/drawing/2014/main" id="{00000000-0008-0000-0700-000013000000}"/>
            </a:ext>
          </a:extLst>
        </xdr:cNvPr>
        <xdr:cNvPicPr>
          <a:picLocks noChangeAspect="1"/>
        </xdr:cNvPicPr>
      </xdr:nvPicPr>
      <xdr:blipFill rotWithShape="1">
        <a:blip xmlns:r="http://schemas.openxmlformats.org/officeDocument/2006/relationships" r:embed="rId10"/>
        <a:srcRect l="4914" t="19635" r="9124" b="32923"/>
        <a:stretch/>
      </xdr:blipFill>
      <xdr:spPr>
        <a:xfrm>
          <a:off x="180975" y="0"/>
          <a:ext cx="1123950" cy="339138"/>
        </a:xfrm>
        <a:prstGeom prst="rect">
          <a:avLst/>
        </a:prstGeom>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pic>
    <xdr:clientData/>
  </xdr:twoCellAnchor>
</xdr:wsDr>
</file>

<file path=xl/drawings/drawing9.xml><?xml version="1.0" encoding="utf-8"?>
<xdr:wsDr xmlns:xdr="http://schemas.openxmlformats.org/drawingml/2006/spreadsheetDrawing" xmlns:a="http://schemas.openxmlformats.org/drawingml/2006/main">
  <xdr:twoCellAnchor>
    <xdr:from>
      <xdr:col>18</xdr:col>
      <xdr:colOff>9525</xdr:colOff>
      <xdr:row>47</xdr:row>
      <xdr:rowOff>80962</xdr:rowOff>
    </xdr:from>
    <xdr:to>
      <xdr:col>27</xdr:col>
      <xdr:colOff>19050</xdr:colOff>
      <xdr:row>67</xdr:row>
      <xdr:rowOff>9526</xdr:rowOff>
    </xdr:to>
    <xdr:graphicFrame macro="">
      <xdr:nvGraphicFramePr>
        <xdr:cNvPr id="2" name="Kaavio 1">
          <a:extLst>
            <a:ext uri="{FF2B5EF4-FFF2-40B4-BE49-F238E27FC236}">
              <a16:creationId xmlns:a16="http://schemas.microsoft.com/office/drawing/2014/main" id="{00000000-0008-0000-0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23</xdr:col>
      <xdr:colOff>657225</xdr:colOff>
      <xdr:row>49</xdr:row>
      <xdr:rowOff>85725</xdr:rowOff>
    </xdr:from>
    <xdr:to>
      <xdr:col>26</xdr:col>
      <xdr:colOff>638175</xdr:colOff>
      <xdr:row>52</xdr:row>
      <xdr:rowOff>123825</xdr:rowOff>
    </xdr:to>
    <xdr:sp macro="" textlink="">
      <xdr:nvSpPr>
        <xdr:cNvPr id="4" name="Tekstiruutu 3">
          <a:extLst>
            <a:ext uri="{FF2B5EF4-FFF2-40B4-BE49-F238E27FC236}">
              <a16:creationId xmlns:a16="http://schemas.microsoft.com/office/drawing/2014/main" id="{00000000-0008-0000-0800-000004000000}"/>
            </a:ext>
          </a:extLst>
        </xdr:cNvPr>
        <xdr:cNvSpPr txBox="1"/>
      </xdr:nvSpPr>
      <xdr:spPr>
        <a:xfrm>
          <a:off x="15154275" y="10096500"/>
          <a:ext cx="2124075" cy="609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fi-FI" sz="1100">
              <a:latin typeface="+mj-lt"/>
            </a:rPr>
            <a:t>Vertaile omaa laskelmaa hyvää ja erinomaista tulosta tekevän tilan tuotantokustannukseen</a:t>
          </a:r>
        </a:p>
      </xdr:txBody>
    </xdr:sp>
    <xdr:clientData/>
  </xdr:twoCellAnchor>
  <xdr:twoCellAnchor>
    <xdr:from>
      <xdr:col>22</xdr:col>
      <xdr:colOff>704850</xdr:colOff>
      <xdr:row>0</xdr:row>
      <xdr:rowOff>28575</xdr:rowOff>
    </xdr:from>
    <xdr:to>
      <xdr:col>25</xdr:col>
      <xdr:colOff>9525</xdr:colOff>
      <xdr:row>1</xdr:row>
      <xdr:rowOff>85725</xdr:rowOff>
    </xdr:to>
    <xdr:sp macro="" textlink="">
      <xdr:nvSpPr>
        <xdr:cNvPr id="5" name="Nuoli oikealle 4">
          <a:hlinkClick xmlns:r="http://schemas.openxmlformats.org/officeDocument/2006/relationships" r:id="rId2"/>
          <a:extLst>
            <a:ext uri="{FF2B5EF4-FFF2-40B4-BE49-F238E27FC236}">
              <a16:creationId xmlns:a16="http://schemas.microsoft.com/office/drawing/2014/main" id="{00000000-0008-0000-0800-000005000000}"/>
            </a:ext>
          </a:extLst>
        </xdr:cNvPr>
        <xdr:cNvSpPr/>
      </xdr:nvSpPr>
      <xdr:spPr>
        <a:xfrm>
          <a:off x="14487525" y="28575"/>
          <a:ext cx="1447800" cy="371475"/>
        </a:xfrm>
        <a:prstGeom prst="rightArrow">
          <a:avLst/>
        </a:prstGeom>
        <a:solidFill>
          <a:schemeClr val="accent4">
            <a:lumMod val="75000"/>
          </a:schemeClr>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fi-FI" sz="1100"/>
            <a:t>Laskelmien vertailu</a:t>
          </a:r>
        </a:p>
      </xdr:txBody>
    </xdr:sp>
    <xdr:clientData/>
  </xdr:twoCellAnchor>
  <xdr:twoCellAnchor>
    <xdr:from>
      <xdr:col>39</xdr:col>
      <xdr:colOff>3305175</xdr:colOff>
      <xdr:row>0</xdr:row>
      <xdr:rowOff>47625</xdr:rowOff>
    </xdr:from>
    <xdr:to>
      <xdr:col>39</xdr:col>
      <xdr:colOff>4772025</xdr:colOff>
      <xdr:row>1</xdr:row>
      <xdr:rowOff>66675</xdr:rowOff>
    </xdr:to>
    <xdr:sp macro="" textlink="">
      <xdr:nvSpPr>
        <xdr:cNvPr id="6" name="Nuoli vasemmalle 5">
          <a:hlinkClick xmlns:r="http://schemas.openxmlformats.org/officeDocument/2006/relationships" r:id="rId3"/>
          <a:extLst>
            <a:ext uri="{FF2B5EF4-FFF2-40B4-BE49-F238E27FC236}">
              <a16:creationId xmlns:a16="http://schemas.microsoft.com/office/drawing/2014/main" id="{00000000-0008-0000-0800-000006000000}"/>
            </a:ext>
          </a:extLst>
        </xdr:cNvPr>
        <xdr:cNvSpPr/>
      </xdr:nvSpPr>
      <xdr:spPr>
        <a:xfrm>
          <a:off x="25622250" y="47625"/>
          <a:ext cx="1466850" cy="333375"/>
        </a:xfrm>
        <a:prstGeom prst="leftArrow">
          <a:avLst/>
        </a:prstGeom>
        <a:solidFill>
          <a:srgbClr val="FF66FF"/>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i-FI" sz="1100"/>
            <a:t>Palaa alkuun</a:t>
          </a:r>
        </a:p>
      </xdr:txBody>
    </xdr:sp>
    <xdr:clientData/>
  </xdr:twoCellAnchor>
  <xdr:twoCellAnchor>
    <xdr:from>
      <xdr:col>22</xdr:col>
      <xdr:colOff>152400</xdr:colOff>
      <xdr:row>0</xdr:row>
      <xdr:rowOff>28576</xdr:rowOff>
    </xdr:from>
    <xdr:to>
      <xdr:col>22</xdr:col>
      <xdr:colOff>552450</xdr:colOff>
      <xdr:row>0</xdr:row>
      <xdr:rowOff>333376</xdr:rowOff>
    </xdr:to>
    <xdr:sp macro="" textlink="">
      <xdr:nvSpPr>
        <xdr:cNvPr id="8" name="Alanuoli 7">
          <a:hlinkClick xmlns:r="http://schemas.openxmlformats.org/officeDocument/2006/relationships" r:id="rId4"/>
          <a:extLst>
            <a:ext uri="{FF2B5EF4-FFF2-40B4-BE49-F238E27FC236}">
              <a16:creationId xmlns:a16="http://schemas.microsoft.com/office/drawing/2014/main" id="{00000000-0008-0000-0800-000008000000}"/>
            </a:ext>
          </a:extLst>
        </xdr:cNvPr>
        <xdr:cNvSpPr/>
      </xdr:nvSpPr>
      <xdr:spPr>
        <a:xfrm>
          <a:off x="13935075" y="28576"/>
          <a:ext cx="400050" cy="304800"/>
        </a:xfrm>
        <a:prstGeom prst="downArrow">
          <a:avLst/>
        </a:prstGeom>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i-FI" sz="1100"/>
        </a:p>
      </xdr:txBody>
    </xdr:sp>
    <xdr:clientData/>
  </xdr:twoCellAnchor>
  <xdr:twoCellAnchor>
    <xdr:from>
      <xdr:col>14</xdr:col>
      <xdr:colOff>581024</xdr:colOff>
      <xdr:row>3</xdr:row>
      <xdr:rowOff>19049</xdr:rowOff>
    </xdr:from>
    <xdr:to>
      <xdr:col>17</xdr:col>
      <xdr:colOff>123824</xdr:colOff>
      <xdr:row>10</xdr:row>
      <xdr:rowOff>238125</xdr:rowOff>
    </xdr:to>
    <xdr:graphicFrame macro="">
      <xdr:nvGraphicFramePr>
        <xdr:cNvPr id="9" name="Kaavio 8">
          <a:extLst>
            <a:ext uri="{FF2B5EF4-FFF2-40B4-BE49-F238E27FC236}">
              <a16:creationId xmlns:a16="http://schemas.microsoft.com/office/drawing/2014/main" id="{00000000-0008-0000-08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171450</xdr:colOff>
      <xdr:row>47</xdr:row>
      <xdr:rowOff>66675</xdr:rowOff>
    </xdr:from>
    <xdr:to>
      <xdr:col>17</xdr:col>
      <xdr:colOff>9525</xdr:colOff>
      <xdr:row>67</xdr:row>
      <xdr:rowOff>9525</xdr:rowOff>
    </xdr:to>
    <xdr:graphicFrame macro="">
      <xdr:nvGraphicFramePr>
        <xdr:cNvPr id="10" name="Kaavio 9">
          <a:extLst>
            <a:ext uri="{FF2B5EF4-FFF2-40B4-BE49-F238E27FC236}">
              <a16:creationId xmlns:a16="http://schemas.microsoft.com/office/drawing/2014/main" id="{00000000-0008-0000-08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39</xdr:col>
      <xdr:colOff>0</xdr:colOff>
      <xdr:row>11</xdr:row>
      <xdr:rowOff>38100</xdr:rowOff>
    </xdr:from>
    <xdr:to>
      <xdr:col>40</xdr:col>
      <xdr:colOff>0</xdr:colOff>
      <xdr:row>27</xdr:row>
      <xdr:rowOff>0</xdr:rowOff>
    </xdr:to>
    <xdr:sp macro="" textlink="" fLocksText="0">
      <xdr:nvSpPr>
        <xdr:cNvPr id="12" name="Tekstiruutu 11">
          <a:extLst>
            <a:ext uri="{FF2B5EF4-FFF2-40B4-BE49-F238E27FC236}">
              <a16:creationId xmlns:a16="http://schemas.microsoft.com/office/drawing/2014/main" id="{00000000-0008-0000-0800-00000C000000}"/>
            </a:ext>
          </a:extLst>
        </xdr:cNvPr>
        <xdr:cNvSpPr txBox="1"/>
      </xdr:nvSpPr>
      <xdr:spPr>
        <a:xfrm>
          <a:off x="22317075" y="2495550"/>
          <a:ext cx="4800600" cy="3228975"/>
        </a:xfrm>
        <a:prstGeom prst="rect">
          <a:avLst/>
        </a:prstGeom>
        <a:solidFill>
          <a:srgbClr val="FFFF99"/>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lang="fi-FI" sz="1100">
            <a:latin typeface="+mj-lt"/>
          </a:endParaRPr>
        </a:p>
      </xdr:txBody>
    </xdr:sp>
    <xdr:clientData/>
  </xdr:twoCellAnchor>
  <xdr:twoCellAnchor>
    <xdr:from>
      <xdr:col>39</xdr:col>
      <xdr:colOff>0</xdr:colOff>
      <xdr:row>27</xdr:row>
      <xdr:rowOff>38101</xdr:rowOff>
    </xdr:from>
    <xdr:to>
      <xdr:col>40</xdr:col>
      <xdr:colOff>0</xdr:colOff>
      <xdr:row>33</xdr:row>
      <xdr:rowOff>190501</xdr:rowOff>
    </xdr:to>
    <xdr:sp macro="" textlink="" fLocksText="0">
      <xdr:nvSpPr>
        <xdr:cNvPr id="13" name="Tekstiruutu 12">
          <a:extLst>
            <a:ext uri="{FF2B5EF4-FFF2-40B4-BE49-F238E27FC236}">
              <a16:creationId xmlns:a16="http://schemas.microsoft.com/office/drawing/2014/main" id="{00000000-0008-0000-0800-00000D000000}"/>
            </a:ext>
          </a:extLst>
        </xdr:cNvPr>
        <xdr:cNvSpPr txBox="1"/>
      </xdr:nvSpPr>
      <xdr:spPr>
        <a:xfrm>
          <a:off x="22317075" y="5762626"/>
          <a:ext cx="4800600" cy="1304925"/>
        </a:xfrm>
        <a:prstGeom prst="rect">
          <a:avLst/>
        </a:prstGeom>
        <a:solidFill>
          <a:srgbClr val="FFFF99"/>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lang="fi-FI" sz="1100">
            <a:latin typeface="+mj-lt"/>
          </a:endParaRPr>
        </a:p>
      </xdr:txBody>
    </xdr:sp>
    <xdr:clientData/>
  </xdr:twoCellAnchor>
  <xdr:twoCellAnchor>
    <xdr:from>
      <xdr:col>39</xdr:col>
      <xdr:colOff>0</xdr:colOff>
      <xdr:row>34</xdr:row>
      <xdr:rowOff>9525</xdr:rowOff>
    </xdr:from>
    <xdr:to>
      <xdr:col>40</xdr:col>
      <xdr:colOff>0</xdr:colOff>
      <xdr:row>45</xdr:row>
      <xdr:rowOff>171449</xdr:rowOff>
    </xdr:to>
    <xdr:sp macro="" textlink="" fLocksText="0">
      <xdr:nvSpPr>
        <xdr:cNvPr id="14" name="Tekstiruutu 13">
          <a:extLst>
            <a:ext uri="{FF2B5EF4-FFF2-40B4-BE49-F238E27FC236}">
              <a16:creationId xmlns:a16="http://schemas.microsoft.com/office/drawing/2014/main" id="{00000000-0008-0000-0800-00000E000000}"/>
            </a:ext>
          </a:extLst>
        </xdr:cNvPr>
        <xdr:cNvSpPr txBox="1"/>
      </xdr:nvSpPr>
      <xdr:spPr>
        <a:xfrm>
          <a:off x="22317075" y="7096125"/>
          <a:ext cx="4800600" cy="2324099"/>
        </a:xfrm>
        <a:prstGeom prst="rect">
          <a:avLst/>
        </a:prstGeom>
        <a:solidFill>
          <a:srgbClr val="FFFF99"/>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lang="fi-FI" sz="1100">
            <a:latin typeface="+mj-lt"/>
          </a:endParaRPr>
        </a:p>
      </xdr:txBody>
    </xdr:sp>
    <xdr:clientData/>
  </xdr:twoCellAnchor>
  <xdr:twoCellAnchor>
    <xdr:from>
      <xdr:col>36</xdr:col>
      <xdr:colOff>9525</xdr:colOff>
      <xdr:row>47</xdr:row>
      <xdr:rowOff>104774</xdr:rowOff>
    </xdr:from>
    <xdr:to>
      <xdr:col>39</xdr:col>
      <xdr:colOff>4800599</xdr:colOff>
      <xdr:row>67</xdr:row>
      <xdr:rowOff>9525</xdr:rowOff>
    </xdr:to>
    <xdr:sp macro="" textlink="" fLocksText="0">
      <xdr:nvSpPr>
        <xdr:cNvPr id="17" name="Tekstiruutu 16">
          <a:extLst>
            <a:ext uri="{FF2B5EF4-FFF2-40B4-BE49-F238E27FC236}">
              <a16:creationId xmlns:a16="http://schemas.microsoft.com/office/drawing/2014/main" id="{00000000-0008-0000-0800-000011000000}"/>
            </a:ext>
          </a:extLst>
        </xdr:cNvPr>
        <xdr:cNvSpPr txBox="1"/>
      </xdr:nvSpPr>
      <xdr:spPr>
        <a:xfrm>
          <a:off x="17726025" y="9763124"/>
          <a:ext cx="9391649" cy="3714751"/>
        </a:xfrm>
        <a:prstGeom prst="rect">
          <a:avLst/>
        </a:prstGeom>
        <a:solidFill>
          <a:srgbClr val="FFFF99"/>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lang="fi-FI" sz="1100">
            <a:latin typeface="+mj-lt"/>
          </a:endParaRPr>
        </a:p>
      </xdr:txBody>
    </xdr:sp>
    <xdr:clientData/>
  </xdr:twoCellAnchor>
  <xdr:twoCellAnchor>
    <xdr:from>
      <xdr:col>25</xdr:col>
      <xdr:colOff>361950</xdr:colOff>
      <xdr:row>78</xdr:row>
      <xdr:rowOff>9525</xdr:rowOff>
    </xdr:from>
    <xdr:to>
      <xdr:col>26</xdr:col>
      <xdr:colOff>609600</xdr:colOff>
      <xdr:row>81</xdr:row>
      <xdr:rowOff>171450</xdr:rowOff>
    </xdr:to>
    <xdr:sp macro="" textlink="">
      <xdr:nvSpPr>
        <xdr:cNvPr id="18" name="Pyöristetty suorakulmio 17" descr="Klikkaa tästä!" title="Siirry alkuun">
          <a:hlinkClick xmlns:r="http://schemas.openxmlformats.org/officeDocument/2006/relationships" r:id="rId7"/>
          <a:extLst>
            <a:ext uri="{FF2B5EF4-FFF2-40B4-BE49-F238E27FC236}">
              <a16:creationId xmlns:a16="http://schemas.microsoft.com/office/drawing/2014/main" id="{00000000-0008-0000-0800-000012000000}"/>
            </a:ext>
          </a:extLst>
        </xdr:cNvPr>
        <xdr:cNvSpPr/>
      </xdr:nvSpPr>
      <xdr:spPr>
        <a:xfrm>
          <a:off x="16287750" y="13830300"/>
          <a:ext cx="962025" cy="733425"/>
        </a:xfrm>
        <a:prstGeom prst="roundRect">
          <a:avLst/>
        </a:prstGeom>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fi-FI" sz="1600"/>
            <a:t>Siirry alkuun</a:t>
          </a:r>
        </a:p>
      </xdr:txBody>
    </xdr:sp>
    <xdr:clientData/>
  </xdr:twoCellAnchor>
  <xdr:twoCellAnchor>
    <xdr:from>
      <xdr:col>22</xdr:col>
      <xdr:colOff>523875</xdr:colOff>
      <xdr:row>78</xdr:row>
      <xdr:rowOff>19050</xdr:rowOff>
    </xdr:from>
    <xdr:to>
      <xdr:col>25</xdr:col>
      <xdr:colOff>180975</xdr:colOff>
      <xdr:row>81</xdr:row>
      <xdr:rowOff>180975</xdr:rowOff>
    </xdr:to>
    <xdr:sp macro="" textlink="">
      <xdr:nvSpPr>
        <xdr:cNvPr id="19" name="Pyöristetty suorakulmio 18" descr="Klikkaa tästä!" title="Siirry alkuun">
          <a:hlinkClick xmlns:r="http://schemas.openxmlformats.org/officeDocument/2006/relationships" r:id="rId8"/>
          <a:extLst>
            <a:ext uri="{FF2B5EF4-FFF2-40B4-BE49-F238E27FC236}">
              <a16:creationId xmlns:a16="http://schemas.microsoft.com/office/drawing/2014/main" id="{00000000-0008-0000-0800-000013000000}"/>
            </a:ext>
          </a:extLst>
        </xdr:cNvPr>
        <xdr:cNvSpPr/>
      </xdr:nvSpPr>
      <xdr:spPr>
        <a:xfrm>
          <a:off x="14306550" y="13839825"/>
          <a:ext cx="1800225" cy="733425"/>
        </a:xfrm>
        <a:prstGeom prst="roundRect">
          <a:avLst/>
        </a:prstGeom>
        <a:solidFill>
          <a:srgbClr val="98F20F"/>
        </a:solidFill>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fi-FI" sz="1800"/>
            <a:t>Lähtötiedot</a:t>
          </a:r>
          <a:endParaRPr lang="fi-FI" sz="1400"/>
        </a:p>
      </xdr:txBody>
    </xdr:sp>
    <xdr:clientData/>
  </xdr:twoCellAnchor>
  <xdr:twoCellAnchor editAs="oneCell">
    <xdr:from>
      <xdr:col>1</xdr:col>
      <xdr:colOff>0</xdr:colOff>
      <xdr:row>0</xdr:row>
      <xdr:rowOff>0</xdr:rowOff>
    </xdr:from>
    <xdr:to>
      <xdr:col>3</xdr:col>
      <xdr:colOff>228600</xdr:colOff>
      <xdr:row>0</xdr:row>
      <xdr:rowOff>339138</xdr:rowOff>
    </xdr:to>
    <xdr:pic>
      <xdr:nvPicPr>
        <xdr:cNvPr id="20" name="Kuva 19">
          <a:extLst>
            <a:ext uri="{FF2B5EF4-FFF2-40B4-BE49-F238E27FC236}">
              <a16:creationId xmlns:a16="http://schemas.microsoft.com/office/drawing/2014/main" id="{00000000-0008-0000-0800-000014000000}"/>
            </a:ext>
          </a:extLst>
        </xdr:cNvPr>
        <xdr:cNvPicPr>
          <a:picLocks noChangeAspect="1"/>
        </xdr:cNvPicPr>
      </xdr:nvPicPr>
      <xdr:blipFill rotWithShape="1">
        <a:blip xmlns:r="http://schemas.openxmlformats.org/officeDocument/2006/relationships" r:embed="rId9"/>
        <a:srcRect l="4914" t="19635" r="9124" b="32923"/>
        <a:stretch/>
      </xdr:blipFill>
      <xdr:spPr>
        <a:xfrm>
          <a:off x="180975" y="0"/>
          <a:ext cx="1123950" cy="339138"/>
        </a:xfrm>
        <a:prstGeom prst="rect">
          <a:avLst/>
        </a:prstGeom>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pic>
    <xdr:clientData/>
  </xdr:twoCellAnchor>
  <xdr:twoCellAnchor>
    <xdr:from>
      <xdr:col>21</xdr:col>
      <xdr:colOff>28575</xdr:colOff>
      <xdr:row>2</xdr:row>
      <xdr:rowOff>19051</xdr:rowOff>
    </xdr:from>
    <xdr:to>
      <xdr:col>26</xdr:col>
      <xdr:colOff>685800</xdr:colOff>
      <xdr:row>7</xdr:row>
      <xdr:rowOff>133350</xdr:rowOff>
    </xdr:to>
    <xdr:sp macro="" textlink="">
      <xdr:nvSpPr>
        <xdr:cNvPr id="21" name="Tekstiruutu 20">
          <a:extLst>
            <a:ext uri="{FF2B5EF4-FFF2-40B4-BE49-F238E27FC236}">
              <a16:creationId xmlns:a16="http://schemas.microsoft.com/office/drawing/2014/main" id="{00000000-0008-0000-0800-000015000000}"/>
            </a:ext>
          </a:extLst>
        </xdr:cNvPr>
        <xdr:cNvSpPr txBox="1"/>
      </xdr:nvSpPr>
      <xdr:spPr>
        <a:xfrm>
          <a:off x="12963525" y="542926"/>
          <a:ext cx="4229100" cy="1238249"/>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050">
              <a:latin typeface="+mj-lt"/>
            </a:rPr>
            <a:t>Tällä</a:t>
          </a:r>
          <a:r>
            <a:rPr lang="fi-FI" sz="1050" baseline="0">
              <a:latin typeface="+mj-lt"/>
            </a:rPr>
            <a:t> sivulla lasketaan maidontuotantokustannus + uudistus</a:t>
          </a:r>
        </a:p>
        <a:p>
          <a:r>
            <a:rPr lang="fi-FI" sz="900" baseline="0">
              <a:latin typeface="+mj-lt"/>
            </a:rPr>
            <a:t>   Maidon tuotantokustannus on laskelmassa esitetty myös säilörehun markkinahinnalla </a:t>
          </a:r>
        </a:p>
        <a:p>
          <a:r>
            <a:rPr lang="fi-FI" sz="900" baseline="0">
              <a:latin typeface="+mj-lt"/>
            </a:rPr>
            <a:t>   laskettuna, joka paljastaa rehuntuotannon kalleuden/edullisuuden</a:t>
          </a:r>
        </a:p>
        <a:p>
          <a:pPr marL="0" marR="0" lvl="0" indent="0" defTabSz="914400" eaLnBrk="1" fontAlgn="auto" latinLnBrk="0" hangingPunct="1">
            <a:lnSpc>
              <a:spcPct val="100000"/>
            </a:lnSpc>
            <a:spcBef>
              <a:spcPts val="0"/>
            </a:spcBef>
            <a:spcAft>
              <a:spcPts val="0"/>
            </a:spcAft>
            <a:buClrTx/>
            <a:buSzTx/>
            <a:buFontTx/>
            <a:buNone/>
            <a:tabLst/>
            <a:defRPr/>
          </a:pPr>
          <a:r>
            <a:rPr lang="fi-FI" sz="900" baseline="0">
              <a:latin typeface="+mj-lt"/>
            </a:rPr>
            <a:t>1. Muuta tarvittaessa lähtötietoja (vihreä solu) </a:t>
          </a:r>
        </a:p>
        <a:p>
          <a:pPr marL="0" marR="0" lvl="0" indent="0" defTabSz="914400" eaLnBrk="1" fontAlgn="auto" latinLnBrk="0" hangingPunct="1">
            <a:lnSpc>
              <a:spcPct val="100000"/>
            </a:lnSpc>
            <a:spcBef>
              <a:spcPts val="0"/>
            </a:spcBef>
            <a:spcAft>
              <a:spcPts val="0"/>
            </a:spcAft>
            <a:buClrTx/>
            <a:buSzTx/>
            <a:buFontTx/>
            <a:buNone/>
            <a:tabLst/>
            <a:defRPr/>
          </a:pPr>
          <a:r>
            <a:rPr lang="fi-FI" sz="900">
              <a:solidFill>
                <a:schemeClr val="dk1"/>
              </a:solidFill>
              <a:effectLst/>
              <a:latin typeface="+mj-lt"/>
              <a:ea typeface="+mn-ea"/>
              <a:cs typeface="+mn-cs"/>
            </a:rPr>
            <a:t>      - Toimenpide poistaa automaattisen</a:t>
          </a:r>
          <a:r>
            <a:rPr lang="fi-FI" sz="900" baseline="0">
              <a:solidFill>
                <a:schemeClr val="dk1"/>
              </a:solidFill>
              <a:effectLst/>
              <a:latin typeface="+mj-lt"/>
              <a:ea typeface="+mn-ea"/>
              <a:cs typeface="+mn-cs"/>
            </a:rPr>
            <a:t> kaavan, joten </a:t>
          </a:r>
          <a:r>
            <a:rPr lang="fi-FI" sz="900">
              <a:solidFill>
                <a:schemeClr val="dk1"/>
              </a:solidFill>
              <a:effectLst/>
              <a:latin typeface="+mj-lt"/>
              <a:ea typeface="+mn-ea"/>
              <a:cs typeface="+mn-cs"/>
            </a:rPr>
            <a:t>tallenna ensin eri versiona.</a:t>
          </a:r>
          <a:endParaRPr lang="fi-FI" sz="900">
            <a:effectLst/>
            <a:latin typeface="+mj-lt"/>
          </a:endParaRPr>
        </a:p>
        <a:p>
          <a:r>
            <a:rPr lang="fi-FI" sz="900" baseline="0">
              <a:latin typeface="+mj-lt"/>
            </a:rPr>
            <a:t>2. Vertaile maidontuotantokustannusta (hyvä, erinomainen)</a:t>
          </a:r>
        </a:p>
        <a:p>
          <a:r>
            <a:rPr lang="fi-FI" sz="900" baseline="0">
              <a:latin typeface="+mj-lt"/>
            </a:rPr>
            <a:t>3. Pohdi millä toimenpiteillä kustannuksia voidaan alentaa?</a:t>
          </a:r>
          <a:endParaRPr lang="fi-FI" sz="900">
            <a:latin typeface="+mj-lt"/>
          </a:endParaRPr>
        </a:p>
      </xdr:txBody>
    </xdr:sp>
    <xdr:clientData/>
  </xdr:twoCellAnchor>
  <xdr:twoCellAnchor>
    <xdr:from>
      <xdr:col>36</xdr:col>
      <xdr:colOff>9524</xdr:colOff>
      <xdr:row>3</xdr:row>
      <xdr:rowOff>0</xdr:rowOff>
    </xdr:from>
    <xdr:to>
      <xdr:col>37</xdr:col>
      <xdr:colOff>2447924</xdr:colOff>
      <xdr:row>7</xdr:row>
      <xdr:rowOff>114300</xdr:rowOff>
    </xdr:to>
    <xdr:sp macro="" textlink="">
      <xdr:nvSpPr>
        <xdr:cNvPr id="24" name="Tekstiruutu 23">
          <a:extLst>
            <a:ext uri="{FF2B5EF4-FFF2-40B4-BE49-F238E27FC236}">
              <a16:creationId xmlns:a16="http://schemas.microsoft.com/office/drawing/2014/main" id="{00000000-0008-0000-0800-000018000000}"/>
            </a:ext>
          </a:extLst>
        </xdr:cNvPr>
        <xdr:cNvSpPr txBox="1"/>
      </xdr:nvSpPr>
      <xdr:spPr>
        <a:xfrm>
          <a:off x="17726024" y="771525"/>
          <a:ext cx="4410075" cy="990600"/>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100" baseline="0">
              <a:solidFill>
                <a:schemeClr val="dk1"/>
              </a:solidFill>
              <a:effectLst/>
              <a:latin typeface="+mj-lt"/>
              <a:ea typeface="+mn-ea"/>
              <a:cs typeface="+mn-cs"/>
            </a:rPr>
            <a:t>Vertaile maidontuotantokustannusta (hyvä, erinomainen)</a:t>
          </a:r>
          <a:endParaRPr lang="fi-FI" sz="1000">
            <a:effectLst/>
            <a:latin typeface="+mj-lt"/>
          </a:endParaRPr>
        </a:p>
      </xdr:txBody>
    </xdr:sp>
    <xdr:clientData/>
  </xdr:twoCellAnchor>
  <xdr:twoCellAnchor>
    <xdr:from>
      <xdr:col>39</xdr:col>
      <xdr:colOff>9524</xdr:colOff>
      <xdr:row>2</xdr:row>
      <xdr:rowOff>238125</xdr:rowOff>
    </xdr:from>
    <xdr:to>
      <xdr:col>40</xdr:col>
      <xdr:colOff>0</xdr:colOff>
      <xdr:row>7</xdr:row>
      <xdr:rowOff>104775</xdr:rowOff>
    </xdr:to>
    <xdr:sp macro="" textlink="">
      <xdr:nvSpPr>
        <xdr:cNvPr id="25" name="Tekstiruutu 24">
          <a:extLst>
            <a:ext uri="{FF2B5EF4-FFF2-40B4-BE49-F238E27FC236}">
              <a16:creationId xmlns:a16="http://schemas.microsoft.com/office/drawing/2014/main" id="{00000000-0008-0000-0800-000019000000}"/>
            </a:ext>
          </a:extLst>
        </xdr:cNvPr>
        <xdr:cNvSpPr txBox="1"/>
      </xdr:nvSpPr>
      <xdr:spPr>
        <a:xfrm>
          <a:off x="22193249" y="762000"/>
          <a:ext cx="4791076" cy="990600"/>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lang="fi-FI" sz="1100" baseline="0">
              <a:solidFill>
                <a:schemeClr val="dk1"/>
              </a:solidFill>
              <a:effectLst/>
              <a:latin typeface="+mj-lt"/>
              <a:ea typeface="+mn-ea"/>
              <a:cs typeface="+mn-cs"/>
            </a:rPr>
            <a:t>Pohdi millä toimenpiteillä kustannuksia voidaan alentaa?</a:t>
          </a:r>
        </a:p>
      </xdr:txBody>
    </xdr:sp>
    <xdr:clientData/>
  </xdr:twoCellAnchor>
  <xdr:twoCellAnchor>
    <xdr:from>
      <xdr:col>7</xdr:col>
      <xdr:colOff>0</xdr:colOff>
      <xdr:row>38</xdr:row>
      <xdr:rowOff>0</xdr:rowOff>
    </xdr:from>
    <xdr:to>
      <xdr:col>9</xdr:col>
      <xdr:colOff>9525</xdr:colOff>
      <xdr:row>46</xdr:row>
      <xdr:rowOff>0</xdr:rowOff>
    </xdr:to>
    <xdr:sp macro="" textlink="">
      <xdr:nvSpPr>
        <xdr:cNvPr id="22" name="Tekstiruutu 21">
          <a:extLst>
            <a:ext uri="{FF2B5EF4-FFF2-40B4-BE49-F238E27FC236}">
              <a16:creationId xmlns:a16="http://schemas.microsoft.com/office/drawing/2014/main" id="{00000000-0008-0000-0800-000016000000}"/>
            </a:ext>
          </a:extLst>
        </xdr:cNvPr>
        <xdr:cNvSpPr txBox="1"/>
      </xdr:nvSpPr>
      <xdr:spPr>
        <a:xfrm>
          <a:off x="3933825" y="7905750"/>
          <a:ext cx="1571625" cy="1562100"/>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050">
              <a:latin typeface="+mj-lt"/>
            </a:rPr>
            <a:t>Vertaile katetuottoja</a:t>
          </a:r>
          <a:r>
            <a:rPr lang="fi-FI" sz="1050" baseline="0">
              <a:latin typeface="+mj-lt"/>
            </a:rPr>
            <a:t> hyvää ja erinomaista tulosta tekeviin tiloihin.</a:t>
          </a:r>
        </a:p>
        <a:p>
          <a:endParaRPr lang="fi-FI" sz="1050" baseline="0">
            <a:latin typeface="+mj-lt"/>
          </a:endParaRPr>
        </a:p>
        <a:p>
          <a:r>
            <a:rPr lang="fi-FI" sz="1050" baseline="0">
              <a:latin typeface="+mj-lt"/>
            </a:rPr>
            <a:t>Miten oman tilan tulos pärjää vertailussa?</a:t>
          </a:r>
        </a:p>
        <a:p>
          <a:endParaRPr lang="fi-FI" sz="1050" baseline="0">
            <a:latin typeface="+mj-lt"/>
          </a:endParaRPr>
        </a:p>
        <a:p>
          <a:r>
            <a:rPr lang="fi-FI" sz="1050" baseline="0">
              <a:latin typeface="+mj-lt"/>
            </a:rPr>
            <a:t>Selvitä mistä erot johtuvat?</a:t>
          </a:r>
          <a:endParaRPr lang="fi-FI" sz="900">
            <a:latin typeface="+mj-lt"/>
          </a:endParaRPr>
        </a:p>
      </xdr:txBody>
    </xdr:sp>
    <xdr:clientData/>
  </xdr:twoCellAnchor>
  <xdr:twoCellAnchor>
    <xdr:from>
      <xdr:col>0</xdr:col>
      <xdr:colOff>161925</xdr:colOff>
      <xdr:row>47</xdr:row>
      <xdr:rowOff>76200</xdr:rowOff>
    </xdr:from>
    <xdr:to>
      <xdr:col>9</xdr:col>
      <xdr:colOff>9526</xdr:colOff>
      <xdr:row>67</xdr:row>
      <xdr:rowOff>0</xdr:rowOff>
    </xdr:to>
    <xdr:graphicFrame macro="">
      <xdr:nvGraphicFramePr>
        <xdr:cNvPr id="23" name="Kaavio 22">
          <a:extLst>
            <a:ext uri="{FF2B5EF4-FFF2-40B4-BE49-F238E27FC236}">
              <a16:creationId xmlns:a16="http://schemas.microsoft.com/office/drawing/2014/main" id="{00000000-0008-0000-0800-00001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xdr:col>
      <xdr:colOff>0</xdr:colOff>
      <xdr:row>68</xdr:row>
      <xdr:rowOff>0</xdr:rowOff>
    </xdr:from>
    <xdr:to>
      <xdr:col>9</xdr:col>
      <xdr:colOff>0</xdr:colOff>
      <xdr:row>76</xdr:row>
      <xdr:rowOff>47625</xdr:rowOff>
    </xdr:to>
    <xdr:sp macro="" textlink="" fLocksText="0">
      <xdr:nvSpPr>
        <xdr:cNvPr id="26" name="Tekstiruutu 25">
          <a:extLst>
            <a:ext uri="{FF2B5EF4-FFF2-40B4-BE49-F238E27FC236}">
              <a16:creationId xmlns:a16="http://schemas.microsoft.com/office/drawing/2014/main" id="{00000000-0008-0000-0800-00001A000000}"/>
            </a:ext>
          </a:extLst>
        </xdr:cNvPr>
        <xdr:cNvSpPr txBox="1"/>
      </xdr:nvSpPr>
      <xdr:spPr>
        <a:xfrm>
          <a:off x="180975" y="13658850"/>
          <a:ext cx="5314950" cy="1571625"/>
        </a:xfrm>
        <a:prstGeom prst="rect">
          <a:avLst/>
        </a:prstGeom>
        <a:solidFill>
          <a:srgbClr val="FFFF99"/>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lang="fi-FI" sz="1100">
            <a:latin typeface="+mj-lt"/>
          </a:endParaRPr>
        </a:p>
      </xdr:txBody>
    </xdr:sp>
    <xdr:clientData/>
  </xdr:twoCellAnchor>
  <xdr:twoCellAnchor>
    <xdr:from>
      <xdr:col>9</xdr:col>
      <xdr:colOff>180974</xdr:colOff>
      <xdr:row>68</xdr:row>
      <xdr:rowOff>0</xdr:rowOff>
    </xdr:from>
    <xdr:to>
      <xdr:col>17</xdr:col>
      <xdr:colOff>9524</xdr:colOff>
      <xdr:row>76</xdr:row>
      <xdr:rowOff>47625</xdr:rowOff>
    </xdr:to>
    <xdr:sp macro="" textlink="" fLocksText="0">
      <xdr:nvSpPr>
        <xdr:cNvPr id="27" name="Tekstiruutu 26">
          <a:extLst>
            <a:ext uri="{FF2B5EF4-FFF2-40B4-BE49-F238E27FC236}">
              <a16:creationId xmlns:a16="http://schemas.microsoft.com/office/drawing/2014/main" id="{00000000-0008-0000-0800-00001B000000}"/>
            </a:ext>
          </a:extLst>
        </xdr:cNvPr>
        <xdr:cNvSpPr txBox="1"/>
      </xdr:nvSpPr>
      <xdr:spPr>
        <a:xfrm>
          <a:off x="5676899" y="13658850"/>
          <a:ext cx="5476875" cy="1571625"/>
        </a:xfrm>
        <a:prstGeom prst="rect">
          <a:avLst/>
        </a:prstGeom>
        <a:solidFill>
          <a:srgbClr val="FFFF99"/>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lang="fi-FI" sz="1100">
            <a:latin typeface="+mj-lt"/>
          </a:endParaRPr>
        </a:p>
      </xdr:txBody>
    </xdr:sp>
    <xdr:clientData/>
  </xdr:twoCellAnchor>
  <xdr:twoCellAnchor>
    <xdr:from>
      <xdr:col>18</xdr:col>
      <xdr:colOff>0</xdr:colOff>
      <xdr:row>68</xdr:row>
      <xdr:rowOff>0</xdr:rowOff>
    </xdr:from>
    <xdr:to>
      <xdr:col>27</xdr:col>
      <xdr:colOff>28575</xdr:colOff>
      <xdr:row>76</xdr:row>
      <xdr:rowOff>47625</xdr:rowOff>
    </xdr:to>
    <xdr:sp macro="" textlink="" fLocksText="0">
      <xdr:nvSpPr>
        <xdr:cNvPr id="28" name="Tekstiruutu 27">
          <a:extLst>
            <a:ext uri="{FF2B5EF4-FFF2-40B4-BE49-F238E27FC236}">
              <a16:creationId xmlns:a16="http://schemas.microsoft.com/office/drawing/2014/main" id="{00000000-0008-0000-0800-00001C000000}"/>
            </a:ext>
          </a:extLst>
        </xdr:cNvPr>
        <xdr:cNvSpPr txBox="1"/>
      </xdr:nvSpPr>
      <xdr:spPr>
        <a:xfrm>
          <a:off x="11325225" y="13658850"/>
          <a:ext cx="6057900" cy="1571625"/>
        </a:xfrm>
        <a:prstGeom prst="rect">
          <a:avLst/>
        </a:prstGeom>
        <a:solidFill>
          <a:srgbClr val="FFFF99"/>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lang="fi-FI" sz="1100">
            <a:latin typeface="+mj-lt"/>
          </a:endParaRPr>
        </a:p>
      </xdr:txBody>
    </xdr:sp>
    <xdr:clientData/>
  </xdr:twoCellAnchor>
</xdr:wsDr>
</file>

<file path=xl/theme/theme1.xml><?xml version="1.0" encoding="utf-8"?>
<a:theme xmlns:a="http://schemas.openxmlformats.org/drawingml/2006/main" name="Office-te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0.xml"/><Relationship Id="rId1" Type="http://schemas.openxmlformats.org/officeDocument/2006/relationships/printerSettings" Target="../printerSettings/printerSettings8.bin"/><Relationship Id="rId4" Type="http://schemas.openxmlformats.org/officeDocument/2006/relationships/comments" Target="../comments9.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1.xml"/><Relationship Id="rId1" Type="http://schemas.openxmlformats.org/officeDocument/2006/relationships/printerSettings" Target="../printerSettings/printerSettings9.bin"/><Relationship Id="rId4" Type="http://schemas.openxmlformats.org/officeDocument/2006/relationships/comments" Target="../comments10.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2.xml"/><Relationship Id="rId1" Type="http://schemas.openxmlformats.org/officeDocument/2006/relationships/printerSettings" Target="../printerSettings/printerSettings10.bin"/><Relationship Id="rId4" Type="http://schemas.openxmlformats.org/officeDocument/2006/relationships/comments" Target="../comments11.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3.xml"/><Relationship Id="rId1" Type="http://schemas.openxmlformats.org/officeDocument/2006/relationships/printerSettings" Target="../printerSettings/printerSettings11.bin"/><Relationship Id="rId4" Type="http://schemas.openxmlformats.org/officeDocument/2006/relationships/comments" Target="../comments12.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6.xml"/><Relationship Id="rId1" Type="http://schemas.openxmlformats.org/officeDocument/2006/relationships/printerSettings" Target="../printerSettings/printerSettings12.bin"/><Relationship Id="rId4" Type="http://schemas.openxmlformats.org/officeDocument/2006/relationships/comments" Target="../comments13.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7.xml"/><Relationship Id="rId1" Type="http://schemas.openxmlformats.org/officeDocument/2006/relationships/printerSettings" Target="../printerSettings/printerSettings13.bin"/><Relationship Id="rId4" Type="http://schemas.openxmlformats.org/officeDocument/2006/relationships/comments" Target="../comments14.xml"/></Relationships>
</file>

<file path=xl/worksheets/_rels/sheet18.xml.rels><?xml version="1.0" encoding="UTF-8" standalone="yes"?>
<Relationships xmlns="http://schemas.openxmlformats.org/package/2006/relationships"><Relationship Id="rId8" Type="http://schemas.openxmlformats.org/officeDocument/2006/relationships/drawing" Target="../drawings/drawing18.xml"/><Relationship Id="rId3" Type="http://schemas.openxmlformats.org/officeDocument/2006/relationships/hyperlink" Target="https://portal.mtt.fi/portal/page/portal/Rehutaulukot/Ruokintasuositukset/Marehtijat/Emolehmien%20energiaruokintasuositukset.pdf" TargetMode="External"/><Relationship Id="rId7" Type="http://schemas.openxmlformats.org/officeDocument/2006/relationships/printerSettings" Target="../printerSettings/printerSettings14.bin"/><Relationship Id="rId2" Type="http://schemas.openxmlformats.org/officeDocument/2006/relationships/hyperlink" Target="https://portal.mtt.fi/portal/page/portal/Rehutaulukot/Ruokintasuositukset/Marehtijat/Lypsylehmien_energian_tarve" TargetMode="External"/><Relationship Id="rId1" Type="http://schemas.openxmlformats.org/officeDocument/2006/relationships/hyperlink" Target="https://portal.mtt.fi/portal/page/portal/Rehutaulukot/Ruokintasuositukset/Marehtijat/Lypsylehmien_energian_tarve" TargetMode="External"/><Relationship Id="rId6" Type="http://schemas.openxmlformats.org/officeDocument/2006/relationships/hyperlink" Target="https://portal.mtt.fi/portal/page/portal/Rehutaulukot/Ruokintasuositukset/Marehtijat/Emolehmien%20energiaruokintasuositukset.pdf" TargetMode="External"/><Relationship Id="rId5" Type="http://schemas.openxmlformats.org/officeDocument/2006/relationships/hyperlink" Target="https://portal.mtt.fi/portal/page/portal/Rehutaulukot/Ruokintasuositukset/Marehtijat/Lypsylehmien_energian_tarve" TargetMode="External"/><Relationship Id="rId10" Type="http://schemas.openxmlformats.org/officeDocument/2006/relationships/comments" Target="../comments15.xml"/><Relationship Id="rId4" Type="http://schemas.openxmlformats.org/officeDocument/2006/relationships/hyperlink" Target="https://portal.mtt.fi/portal/page/portal/Rehutaulukot/Ruokintasuositukset/Marehtijat/Emolehmien%20energiaruokintasuositukset.pdf" TargetMode="External"/><Relationship Id="rId9" Type="http://schemas.openxmlformats.org/officeDocument/2006/relationships/vmlDrawing" Target="../drawings/vmlDrawing15.vml"/></Relationships>
</file>

<file path=xl/worksheets/_rels/sheet1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8" Type="http://schemas.openxmlformats.org/officeDocument/2006/relationships/vmlDrawing" Target="../drawings/vmlDrawing17.vml"/><Relationship Id="rId3" Type="http://schemas.openxmlformats.org/officeDocument/2006/relationships/hyperlink" Target="https://portal.mtt.fi/portal/page/portal/Rehutaulukot/Ruokintasuositukset/Marehtijat/Kasvavien_nautojen_valkuaissuositukset" TargetMode="External"/><Relationship Id="rId7" Type="http://schemas.openxmlformats.org/officeDocument/2006/relationships/drawing" Target="../drawings/drawing20.xml"/><Relationship Id="rId2" Type="http://schemas.openxmlformats.org/officeDocument/2006/relationships/hyperlink" Target="https://portal.mtt.fi/portal/page/portal/Rehutaulukot/Ruokintasuositukset/Marehtijat/Kasvavien_nautojen_valkuaissuositukset" TargetMode="External"/><Relationship Id="rId1" Type="http://schemas.openxmlformats.org/officeDocument/2006/relationships/hyperlink" Target="https://portal.mtt.fi/portal/page/portal/Rehutaulukot/Ruokintasuositukset/Marehtijat/Lypsylehmien_energian_tarve" TargetMode="External"/><Relationship Id="rId6" Type="http://schemas.openxmlformats.org/officeDocument/2006/relationships/printerSettings" Target="../printerSettings/printerSettings15.bin"/><Relationship Id="rId5" Type="http://schemas.openxmlformats.org/officeDocument/2006/relationships/hyperlink" Target="https://portal.mtt.fi/portal/page/portal/Rehutaulukot/Ruokintasuositukset/Marehtijat/Emolehmien%20energiaruokintasuositukset.pdf" TargetMode="External"/><Relationship Id="rId4" Type="http://schemas.openxmlformats.org/officeDocument/2006/relationships/hyperlink" Target="https://portal.mtt.fi/portal/page/portal/Rehutaulukot/Ruokintasuositukset/Marehtijat/Lypsylehmien_energian_tarve" TargetMode="External"/><Relationship Id="rId9" Type="http://schemas.openxmlformats.org/officeDocument/2006/relationships/comments" Target="../comments17.xml"/></Relationships>
</file>

<file path=xl/worksheets/_rels/sheet21.xml.rels><?xml version="1.0" encoding="UTF-8" standalone="yes"?>
<Relationships xmlns="http://schemas.openxmlformats.org/package/2006/relationships"><Relationship Id="rId8" Type="http://schemas.openxmlformats.org/officeDocument/2006/relationships/vmlDrawing" Target="../drawings/vmlDrawing18.vml"/><Relationship Id="rId3" Type="http://schemas.openxmlformats.org/officeDocument/2006/relationships/hyperlink" Target="https://portal.mtt.fi/portal/page/portal/Rehutaulukot/Ruokintasuositukset/Marehtijat/Lypsylehmien_energian_tarve" TargetMode="External"/><Relationship Id="rId7" Type="http://schemas.openxmlformats.org/officeDocument/2006/relationships/drawing" Target="../drawings/drawing21.xml"/><Relationship Id="rId2" Type="http://schemas.openxmlformats.org/officeDocument/2006/relationships/hyperlink" Target="https://portal.mtt.fi/portal/page/portal/Rehutaulukot/Ruokintasuositukset/Marehtijat/Kasvavien_hiehojen_energiasuositukset" TargetMode="External"/><Relationship Id="rId1" Type="http://schemas.openxmlformats.org/officeDocument/2006/relationships/hyperlink" Target="https://portal.mtt.fi/portal/page/portal/Rehutaulukot/Ruokintasuositukset/Marehtijat/Kasvavien_hiehojen_energiasuositukset" TargetMode="External"/><Relationship Id="rId6" Type="http://schemas.openxmlformats.org/officeDocument/2006/relationships/printerSettings" Target="../printerSettings/printerSettings16.bin"/><Relationship Id="rId5" Type="http://schemas.openxmlformats.org/officeDocument/2006/relationships/hyperlink" Target="https://portal.mtt.fi/portal/page/portal/Rehutaulukot/Ruokintasuositukset/Marehtijat/Emolehmien%20energiaruokintasuositukset.pdf" TargetMode="External"/><Relationship Id="rId4" Type="http://schemas.openxmlformats.org/officeDocument/2006/relationships/hyperlink" Target="https://portal.mtt.fi/portal/page/portal/Rehutaulukot/Ruokintasuositukset/Marehtijat/Lypsylehmien_energian_tarve" TargetMode="External"/><Relationship Id="rId9" Type="http://schemas.openxmlformats.org/officeDocument/2006/relationships/comments" Target="../comments18.xml"/></Relationships>
</file>

<file path=xl/worksheets/_rels/sheet22.xml.rels><?xml version="1.0" encoding="UTF-8" standalone="yes"?>
<Relationships xmlns="http://schemas.openxmlformats.org/package/2006/relationships"><Relationship Id="rId3" Type="http://schemas.openxmlformats.org/officeDocument/2006/relationships/drawing" Target="../drawings/drawing22.xml"/><Relationship Id="rId2" Type="http://schemas.openxmlformats.org/officeDocument/2006/relationships/hyperlink" Target="https://portal.mtt.fi/portal/page/portal/Rehutaulukot/Ruokintasuositukset/Marehtijat/Emolehmien%20energiaruokintasuositukset.pdf" TargetMode="External"/><Relationship Id="rId1" Type="http://schemas.openxmlformats.org/officeDocument/2006/relationships/hyperlink" Target="https://portal.mtt.fi/portal/page/portal/Rehutaulukot/Ruokintasuositukset/Marehtijat/Lypsylehmien_energian_tarve" TargetMode="External"/><Relationship Id="rId5" Type="http://schemas.openxmlformats.org/officeDocument/2006/relationships/comments" Target="../comments19.xml"/><Relationship Id="rId4" Type="http://schemas.openxmlformats.org/officeDocument/2006/relationships/vmlDrawing" Target="../drawings/vmlDrawing19.v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4.bin"/><Relationship Id="rId1" Type="http://schemas.openxmlformats.org/officeDocument/2006/relationships/hyperlink" Target="http://www.seilab.fi/tutkimukset/.rehututkimukset.html/47916.pdf" TargetMode="External"/><Relationship Id="rId5" Type="http://schemas.openxmlformats.org/officeDocument/2006/relationships/comments" Target="../comments4.xml"/><Relationship Id="rId4" Type="http://schemas.openxmlformats.org/officeDocument/2006/relationships/vmlDrawing" Target="../drawings/vmlDrawing4.v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7.xml"/><Relationship Id="rId1" Type="http://schemas.openxmlformats.org/officeDocument/2006/relationships/hyperlink" Target="http://www.seilab.fi/tutkimukset/.rehututkimukset.html/47916.pdf" TargetMode="External"/><Relationship Id="rId4" Type="http://schemas.openxmlformats.org/officeDocument/2006/relationships/comments" Target="../comments6.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8.xml"/><Relationship Id="rId1" Type="http://schemas.openxmlformats.org/officeDocument/2006/relationships/printerSettings" Target="../printerSettings/printerSettings6.bin"/><Relationship Id="rId4" Type="http://schemas.openxmlformats.org/officeDocument/2006/relationships/comments" Target="../comments7.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9.xml"/><Relationship Id="rId1" Type="http://schemas.openxmlformats.org/officeDocument/2006/relationships/printerSettings" Target="../printerSettings/printerSettings7.bin"/><Relationship Id="rId4" Type="http://schemas.openxmlformats.org/officeDocument/2006/relationships/comments" Target="../comments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ul2">
    <tabColor rgb="FFFFC000"/>
  </sheetPr>
  <dimension ref="A1:BF57"/>
  <sheetViews>
    <sheetView showZeros="0" tabSelected="1" topLeftCell="D1" zoomScale="64" zoomScaleNormal="85" workbookViewId="0">
      <pane ySplit="1" topLeftCell="A2" activePane="bottomLeft" state="frozen"/>
      <selection activeCell="E1" sqref="E1"/>
      <selection pane="bottomLeft" activeCell="K12" sqref="K12"/>
    </sheetView>
  </sheetViews>
  <sheetFormatPr defaultColWidth="9.1796875" defaultRowHeight="14.5" x14ac:dyDescent="0.35"/>
  <cols>
    <col min="1" max="1" width="3.6328125" style="104" customWidth="1"/>
    <col min="2" max="2" width="24.81640625" style="104" customWidth="1"/>
    <col min="3" max="3" width="6.453125" style="117" customWidth="1"/>
    <col min="4" max="4" width="9.1796875" style="104"/>
    <col min="5" max="5" width="3.6328125" style="104" customWidth="1"/>
    <col min="6" max="6" width="20.1796875" style="104" customWidth="1"/>
    <col min="7" max="7" width="9.1796875" style="104"/>
    <col min="8" max="8" width="20.6328125" style="104" customWidth="1"/>
    <col min="9" max="9" width="16.81640625" style="104" customWidth="1"/>
    <col min="10" max="10" width="9.1796875" style="104"/>
    <col min="11" max="11" width="13.6328125" style="104" customWidth="1"/>
    <col min="12" max="12" width="9.1796875" style="104"/>
    <col min="13" max="13" width="10.1796875" style="104" bestFit="1" customWidth="1"/>
    <col min="14" max="16384" width="9.1796875" style="104"/>
  </cols>
  <sheetData>
    <row r="1" spans="1:58" s="410" customFormat="1" ht="27" customHeight="1" x14ac:dyDescent="0.35">
      <c r="A1" s="408"/>
      <c r="B1" s="408"/>
      <c r="C1" s="409" t="s">
        <v>270</v>
      </c>
      <c r="D1" s="409"/>
      <c r="E1" s="408"/>
      <c r="F1" s="408"/>
      <c r="G1" s="408"/>
      <c r="H1" s="408"/>
      <c r="I1" s="98" t="s">
        <v>772</v>
      </c>
      <c r="J1" s="99" t="s">
        <v>235</v>
      </c>
      <c r="K1" s="100"/>
      <c r="L1" s="101">
        <v>44646</v>
      </c>
      <c r="M1" s="408"/>
      <c r="N1" s="408"/>
      <c r="O1" s="408"/>
      <c r="P1" s="408"/>
      <c r="Q1" s="408"/>
      <c r="R1" s="408"/>
      <c r="S1" s="408"/>
      <c r="T1" s="408"/>
      <c r="U1" s="408"/>
      <c r="V1" s="408"/>
      <c r="W1" s="408"/>
      <c r="X1" s="408"/>
      <c r="Y1" s="408"/>
      <c r="Z1" s="408"/>
      <c r="AA1" s="408"/>
      <c r="AB1" s="408"/>
      <c r="AC1" s="408"/>
      <c r="AD1" s="408"/>
      <c r="AE1" s="408"/>
      <c r="AF1" s="408"/>
      <c r="AG1" s="408"/>
    </row>
    <row r="2" spans="1:58" s="2" customFormat="1" ht="14.25" customHeight="1" x14ac:dyDescent="0.35">
      <c r="A2" s="3"/>
      <c r="B2" s="4"/>
      <c r="C2" s="1"/>
      <c r="D2" s="1"/>
      <c r="E2" s="1"/>
      <c r="F2" s="1"/>
      <c r="G2" s="1"/>
      <c r="H2" s="1"/>
      <c r="I2" s="1"/>
      <c r="J2" s="1"/>
      <c r="K2" s="1"/>
      <c r="L2" s="1"/>
      <c r="M2" s="1"/>
      <c r="N2" s="1"/>
      <c r="O2" s="1"/>
      <c r="P2" s="1"/>
      <c r="Q2" s="3"/>
      <c r="R2" s="3"/>
      <c r="S2" s="95"/>
      <c r="T2" s="1"/>
      <c r="U2" s="1"/>
      <c r="V2" s="1"/>
      <c r="W2" s="3"/>
      <c r="X2" s="1"/>
      <c r="Y2" s="1"/>
      <c r="Z2" s="1"/>
      <c r="AA2" s="1"/>
      <c r="AB2" s="1"/>
      <c r="AC2" s="1"/>
      <c r="AD2" s="1"/>
      <c r="AE2" s="1"/>
      <c r="AF2" s="3"/>
      <c r="AG2" s="3"/>
    </row>
    <row r="3" spans="1:58" x14ac:dyDescent="0.35">
      <c r="A3" s="102"/>
      <c r="B3" s="102"/>
      <c r="C3" s="103"/>
      <c r="D3" s="102"/>
      <c r="E3" s="102"/>
      <c r="F3" s="102"/>
      <c r="G3" s="102"/>
      <c r="H3" s="102"/>
      <c r="I3" s="102"/>
      <c r="J3" s="102"/>
      <c r="K3" s="102"/>
      <c r="L3" s="102"/>
      <c r="M3" s="106"/>
      <c r="N3" s="106"/>
      <c r="O3" s="106"/>
      <c r="P3" s="106"/>
      <c r="Q3" s="106"/>
      <c r="R3" s="106"/>
      <c r="S3" s="106"/>
      <c r="T3" s="106"/>
      <c r="U3" s="106"/>
      <c r="V3" s="106"/>
      <c r="W3" s="106"/>
      <c r="X3" s="106"/>
      <c r="Y3" s="102"/>
      <c r="Z3" s="102"/>
      <c r="AA3" s="102"/>
      <c r="AB3" s="102"/>
      <c r="AC3" s="102"/>
      <c r="AD3" s="102"/>
      <c r="AE3" s="102"/>
      <c r="AF3" s="102"/>
      <c r="AG3" s="102"/>
      <c r="AH3" s="102"/>
      <c r="AI3" s="102"/>
      <c r="AJ3" s="102"/>
      <c r="AK3" s="102"/>
      <c r="AL3" s="102"/>
      <c r="AM3" s="102"/>
      <c r="AN3" s="102"/>
      <c r="AO3" s="102"/>
      <c r="AP3" s="102"/>
      <c r="AQ3" s="102"/>
      <c r="AR3" s="102"/>
      <c r="AS3" s="102"/>
      <c r="AT3" s="102"/>
      <c r="AU3" s="102"/>
      <c r="AV3" s="102"/>
      <c r="AW3" s="102"/>
      <c r="AX3" s="102"/>
      <c r="AY3" s="102"/>
      <c r="AZ3" s="102"/>
      <c r="BA3" s="102"/>
      <c r="BB3" s="102"/>
      <c r="BC3" s="102"/>
      <c r="BD3" s="102"/>
      <c r="BE3" s="102"/>
      <c r="BF3" s="102"/>
    </row>
    <row r="4" spans="1:58" x14ac:dyDescent="0.35">
      <c r="A4" s="102"/>
      <c r="B4" s="102"/>
      <c r="C4" s="102"/>
      <c r="D4" s="102"/>
      <c r="E4" s="102"/>
      <c r="F4" s="102"/>
      <c r="G4" s="102"/>
      <c r="H4" s="102"/>
      <c r="I4" s="102"/>
      <c r="J4" s="102"/>
      <c r="K4" s="102"/>
      <c r="L4" s="102"/>
      <c r="M4" s="106"/>
      <c r="N4" s="106"/>
      <c r="O4" s="106"/>
      <c r="P4" s="106"/>
      <c r="Q4" s="106"/>
      <c r="R4" s="106"/>
      <c r="S4" s="106"/>
      <c r="T4" s="106"/>
      <c r="U4" s="106"/>
      <c r="V4" s="106"/>
      <c r="W4" s="106"/>
      <c r="X4" s="106"/>
      <c r="Y4" s="102"/>
      <c r="Z4" s="102"/>
      <c r="AA4" s="102"/>
      <c r="AB4" s="102"/>
      <c r="AC4" s="102"/>
      <c r="AD4" s="102"/>
      <c r="AE4" s="102"/>
      <c r="AF4" s="102"/>
      <c r="AG4" s="102"/>
      <c r="AH4" s="102"/>
      <c r="AI4" s="102"/>
      <c r="AJ4" s="102"/>
      <c r="AK4" s="102"/>
      <c r="AL4" s="102"/>
      <c r="AM4" s="102"/>
      <c r="AN4" s="102"/>
      <c r="AO4" s="102"/>
      <c r="AP4" s="102"/>
      <c r="AQ4" s="102"/>
      <c r="AR4" s="102"/>
      <c r="AS4" s="102"/>
      <c r="AT4" s="102"/>
      <c r="AU4" s="102"/>
      <c r="AV4" s="102"/>
      <c r="AW4" s="102"/>
      <c r="AX4" s="102"/>
      <c r="AY4" s="102"/>
      <c r="AZ4" s="102"/>
      <c r="BA4" s="102"/>
      <c r="BB4" s="102"/>
      <c r="BC4" s="102"/>
      <c r="BD4" s="102"/>
      <c r="BE4" s="102"/>
      <c r="BF4" s="102"/>
    </row>
    <row r="5" spans="1:58" x14ac:dyDescent="0.35">
      <c r="A5" s="102"/>
      <c r="B5" s="105"/>
      <c r="C5" s="103"/>
      <c r="D5" s="102"/>
      <c r="E5" s="102"/>
      <c r="F5" s="102"/>
      <c r="G5" s="102"/>
      <c r="H5" s="102"/>
      <c r="I5" s="102"/>
      <c r="J5" s="102"/>
      <c r="K5" s="102"/>
      <c r="L5" s="102"/>
      <c r="M5" s="106"/>
      <c r="N5" s="106"/>
      <c r="O5" s="106"/>
      <c r="P5" s="106"/>
      <c r="Q5" s="106"/>
      <c r="R5" s="106"/>
      <c r="S5" s="106"/>
      <c r="T5" s="106"/>
      <c r="U5" s="106"/>
      <c r="V5" s="106"/>
      <c r="W5" s="106"/>
      <c r="X5" s="106"/>
      <c r="Y5" s="102"/>
      <c r="Z5" s="102"/>
      <c r="AA5" s="102"/>
      <c r="AB5" s="102"/>
      <c r="AC5" s="102"/>
      <c r="AD5" s="102"/>
      <c r="AE5" s="102"/>
      <c r="AF5" s="102"/>
      <c r="AG5" s="102"/>
      <c r="AH5" s="102"/>
      <c r="AI5" s="102"/>
      <c r="AJ5" s="102"/>
      <c r="AK5" s="102"/>
      <c r="AL5" s="102"/>
      <c r="AM5" s="102"/>
      <c r="AN5" s="102"/>
      <c r="AO5" s="102"/>
      <c r="AP5" s="102"/>
      <c r="AQ5" s="102"/>
      <c r="AR5" s="102"/>
      <c r="AS5" s="102"/>
      <c r="AT5" s="102"/>
      <c r="AU5" s="102"/>
      <c r="AV5" s="102"/>
      <c r="AW5" s="102"/>
      <c r="AX5" s="102"/>
      <c r="AY5" s="102"/>
      <c r="AZ5" s="102"/>
      <c r="BA5" s="102"/>
      <c r="BB5" s="102"/>
      <c r="BC5" s="102"/>
      <c r="BD5" s="102"/>
      <c r="BE5" s="102"/>
      <c r="BF5" s="102"/>
    </row>
    <row r="6" spans="1:58" ht="24" customHeight="1" x14ac:dyDescent="0.35">
      <c r="A6" s="102"/>
      <c r="B6" s="102"/>
      <c r="C6" s="103"/>
      <c r="D6" s="102"/>
      <c r="E6" s="102"/>
      <c r="F6" s="102"/>
      <c r="G6" s="102"/>
      <c r="H6" s="102"/>
      <c r="I6" s="102"/>
      <c r="J6" s="102"/>
      <c r="K6" s="102"/>
      <c r="L6" s="102"/>
      <c r="M6" s="106"/>
      <c r="N6" s="106"/>
      <c r="O6" s="106"/>
      <c r="P6" s="106"/>
      <c r="Q6" s="106"/>
      <c r="R6" s="106"/>
      <c r="S6" s="106"/>
      <c r="T6" s="106"/>
      <c r="U6" s="106"/>
      <c r="V6" s="106"/>
      <c r="W6" s="106"/>
      <c r="X6" s="106"/>
      <c r="Y6" s="102"/>
      <c r="Z6" s="102"/>
      <c r="AA6" s="102"/>
      <c r="AB6" s="102"/>
      <c r="AC6" s="102"/>
      <c r="AD6" s="102"/>
      <c r="AE6" s="102"/>
      <c r="AF6" s="102"/>
      <c r="AG6" s="102"/>
      <c r="AH6" s="102"/>
      <c r="AI6" s="102"/>
      <c r="AJ6" s="102"/>
      <c r="AK6" s="102"/>
      <c r="AL6" s="102"/>
      <c r="AM6" s="102"/>
      <c r="AN6" s="102"/>
      <c r="AO6" s="102"/>
      <c r="AP6" s="102"/>
      <c r="AQ6" s="102"/>
      <c r="AR6" s="102"/>
      <c r="AS6" s="102"/>
      <c r="AT6" s="102"/>
      <c r="AU6" s="102"/>
      <c r="AV6" s="102"/>
      <c r="AW6" s="102"/>
      <c r="AX6" s="102"/>
      <c r="AY6" s="102"/>
      <c r="AZ6" s="102"/>
      <c r="BA6" s="102"/>
      <c r="BB6" s="102"/>
      <c r="BC6" s="102"/>
      <c r="BD6" s="102"/>
      <c r="BE6" s="102"/>
      <c r="BF6" s="102"/>
    </row>
    <row r="7" spans="1:58" s="114" customFormat="1" ht="25" customHeight="1" x14ac:dyDescent="0.35">
      <c r="A7" s="102"/>
      <c r="B7" s="102"/>
      <c r="C7" s="103"/>
      <c r="D7" s="102"/>
      <c r="E7" s="106"/>
      <c r="F7" s="107" t="s">
        <v>253</v>
      </c>
      <c r="G7" s="108">
        <v>2021</v>
      </c>
      <c r="H7" s="109" t="s">
        <v>254</v>
      </c>
      <c r="I7" s="110" t="s">
        <v>255</v>
      </c>
      <c r="J7" s="668" t="s">
        <v>773</v>
      </c>
      <c r="K7" s="112">
        <v>44646</v>
      </c>
      <c r="L7" s="106"/>
      <c r="M7" s="106"/>
      <c r="N7" s="106"/>
      <c r="O7" s="106"/>
      <c r="P7" s="106"/>
      <c r="Q7" s="106"/>
      <c r="R7" s="106"/>
      <c r="S7" s="106"/>
      <c r="T7" s="106"/>
      <c r="U7" s="106"/>
      <c r="V7" s="106"/>
      <c r="W7" s="106"/>
      <c r="X7" s="106"/>
      <c r="Y7" s="106"/>
      <c r="Z7" s="106"/>
      <c r="AA7" s="106"/>
      <c r="AB7" s="106"/>
      <c r="AC7" s="106"/>
      <c r="AD7" s="106"/>
      <c r="AE7" s="106"/>
      <c r="AF7" s="106"/>
      <c r="AG7" s="106"/>
      <c r="AH7" s="106"/>
      <c r="AI7" s="106"/>
      <c r="AJ7" s="106"/>
      <c r="AK7" s="106"/>
      <c r="AL7" s="106"/>
      <c r="AM7" s="106"/>
      <c r="AN7" s="106"/>
      <c r="AO7" s="106"/>
      <c r="AP7" s="106"/>
      <c r="AQ7" s="106"/>
      <c r="AR7" s="106"/>
      <c r="AS7" s="106"/>
      <c r="AT7" s="106"/>
      <c r="AU7" s="106"/>
      <c r="AV7" s="106"/>
      <c r="AW7" s="106"/>
      <c r="AX7" s="106"/>
      <c r="AY7" s="106"/>
      <c r="AZ7" s="106"/>
      <c r="BA7" s="106"/>
      <c r="BB7" s="106"/>
      <c r="BC7" s="106"/>
      <c r="BD7" s="106"/>
      <c r="BE7" s="106"/>
      <c r="BF7" s="106"/>
    </row>
    <row r="8" spans="1:58" s="114" customFormat="1" ht="25" customHeight="1" x14ac:dyDescent="0.35">
      <c r="A8" s="102"/>
      <c r="B8" s="102"/>
      <c r="C8" s="103"/>
      <c r="D8" s="102"/>
      <c r="E8" s="106"/>
      <c r="F8" s="107" t="s">
        <v>257</v>
      </c>
      <c r="G8" s="783" t="s">
        <v>774</v>
      </c>
      <c r="H8" s="783"/>
      <c r="I8" s="107" t="s">
        <v>258</v>
      </c>
      <c r="J8" s="783" t="s">
        <v>775</v>
      </c>
      <c r="K8" s="784"/>
      <c r="L8" s="106"/>
      <c r="M8" s="106"/>
      <c r="N8" s="106"/>
      <c r="O8" s="106"/>
      <c r="P8" s="106"/>
      <c r="Q8" s="106"/>
      <c r="R8" s="106"/>
      <c r="S8" s="106"/>
      <c r="T8" s="106"/>
      <c r="U8" s="106"/>
      <c r="V8" s="106"/>
      <c r="W8" s="106"/>
      <c r="X8" s="106"/>
      <c r="Y8" s="106"/>
      <c r="Z8" s="106"/>
      <c r="AA8" s="106"/>
      <c r="AB8" s="106"/>
      <c r="AC8" s="106"/>
      <c r="AD8" s="106"/>
      <c r="AE8" s="106"/>
      <c r="AF8" s="106"/>
      <c r="AG8" s="106"/>
      <c r="AH8" s="106"/>
      <c r="AI8" s="106"/>
      <c r="AJ8" s="106"/>
      <c r="AK8" s="106"/>
      <c r="AL8" s="106"/>
      <c r="AM8" s="106"/>
      <c r="AN8" s="106"/>
      <c r="AO8" s="106"/>
      <c r="AP8" s="106"/>
      <c r="AQ8" s="106"/>
      <c r="AR8" s="106"/>
      <c r="AS8" s="106"/>
      <c r="AT8" s="106"/>
      <c r="AU8" s="106"/>
      <c r="AV8" s="106"/>
      <c r="AW8" s="106"/>
      <c r="AX8" s="106"/>
      <c r="AY8" s="106"/>
      <c r="AZ8" s="106"/>
      <c r="BA8" s="106"/>
      <c r="BB8" s="106"/>
      <c r="BC8" s="106"/>
      <c r="BD8" s="106"/>
      <c r="BE8" s="106"/>
      <c r="BF8" s="106"/>
    </row>
    <row r="9" spans="1:58" s="114" customFormat="1" ht="25" customHeight="1" x14ac:dyDescent="0.35">
      <c r="A9" s="102"/>
      <c r="B9" s="102"/>
      <c r="C9" s="103"/>
      <c r="D9" s="102"/>
      <c r="E9" s="106"/>
      <c r="F9" s="107" t="s">
        <v>259</v>
      </c>
      <c r="G9" s="783"/>
      <c r="H9" s="783"/>
      <c r="I9" s="785"/>
      <c r="J9" s="783"/>
      <c r="K9" s="784"/>
      <c r="L9" s="106"/>
      <c r="M9" s="106"/>
      <c r="N9" s="106"/>
      <c r="O9" s="106"/>
      <c r="P9" s="106"/>
      <c r="Q9" s="106"/>
      <c r="R9" s="106"/>
      <c r="S9" s="106"/>
      <c r="T9" s="106"/>
      <c r="U9" s="106"/>
      <c r="V9" s="106"/>
      <c r="W9" s="106"/>
      <c r="X9" s="106"/>
      <c r="Y9" s="106"/>
      <c r="Z9" s="106"/>
      <c r="AA9" s="106"/>
      <c r="AB9" s="106"/>
      <c r="AC9" s="106"/>
      <c r="AD9" s="106"/>
      <c r="AE9" s="106"/>
      <c r="AF9" s="106"/>
      <c r="AG9" s="106"/>
      <c r="AH9" s="106"/>
      <c r="AI9" s="106"/>
      <c r="AJ9" s="106"/>
      <c r="AK9" s="106"/>
      <c r="AL9" s="106"/>
      <c r="AM9" s="106"/>
      <c r="AN9" s="106"/>
      <c r="AO9" s="106"/>
      <c r="AP9" s="106"/>
      <c r="AQ9" s="106"/>
      <c r="AR9" s="106"/>
      <c r="AS9" s="106"/>
      <c r="AT9" s="106"/>
      <c r="AU9" s="106"/>
      <c r="AV9" s="106"/>
      <c r="AW9" s="106"/>
      <c r="AX9" s="106"/>
      <c r="AY9" s="106"/>
      <c r="AZ9" s="106"/>
      <c r="BA9" s="106"/>
      <c r="BB9" s="106"/>
      <c r="BC9" s="106"/>
      <c r="BD9" s="106"/>
      <c r="BE9" s="106"/>
      <c r="BF9" s="106"/>
    </row>
    <row r="10" spans="1:58" s="114" customFormat="1" ht="25" customHeight="1" x14ac:dyDescent="0.35">
      <c r="A10" s="102"/>
      <c r="B10" s="102"/>
      <c r="C10" s="103"/>
      <c r="D10" s="102"/>
      <c r="E10" s="106"/>
      <c r="F10" s="107" t="s">
        <v>260</v>
      </c>
      <c r="G10" s="783" t="s">
        <v>776</v>
      </c>
      <c r="H10" s="783"/>
      <c r="I10" s="107" t="s">
        <v>261</v>
      </c>
      <c r="J10" s="783"/>
      <c r="K10" s="784"/>
      <c r="L10" s="106"/>
      <c r="M10" s="106"/>
      <c r="N10" s="106"/>
      <c r="O10" s="106"/>
      <c r="P10" s="106"/>
      <c r="Q10" s="106"/>
      <c r="R10" s="106"/>
      <c r="S10" s="106"/>
      <c r="T10" s="106"/>
      <c r="U10" s="106"/>
      <c r="V10" s="106"/>
      <c r="W10" s="106"/>
      <c r="X10" s="106"/>
      <c r="Y10" s="106"/>
      <c r="Z10" s="106"/>
      <c r="AA10" s="106"/>
      <c r="AB10" s="106"/>
      <c r="AC10" s="106"/>
      <c r="AD10" s="106"/>
      <c r="AE10" s="106"/>
      <c r="AF10" s="106"/>
      <c r="AG10" s="106"/>
      <c r="AH10" s="106"/>
      <c r="AI10" s="106"/>
      <c r="AJ10" s="106"/>
      <c r="AK10" s="106"/>
      <c r="AL10" s="106"/>
      <c r="AM10" s="106"/>
      <c r="AN10" s="106"/>
      <c r="AO10" s="106"/>
      <c r="AP10" s="106"/>
      <c r="AQ10" s="106"/>
      <c r="AR10" s="106"/>
      <c r="AS10" s="106"/>
      <c r="AT10" s="106"/>
      <c r="AU10" s="106"/>
      <c r="AV10" s="106"/>
      <c r="AW10" s="106"/>
      <c r="AX10" s="106"/>
      <c r="AY10" s="106"/>
      <c r="AZ10" s="106"/>
      <c r="BA10" s="106"/>
      <c r="BB10" s="106"/>
      <c r="BC10" s="106"/>
      <c r="BD10" s="106"/>
      <c r="BE10" s="106"/>
      <c r="BF10" s="106"/>
    </row>
    <row r="11" spans="1:58" s="114" customFormat="1" ht="25" customHeight="1" x14ac:dyDescent="0.35">
      <c r="A11" s="102"/>
      <c r="B11" s="102"/>
      <c r="C11" s="103"/>
      <c r="D11" s="102"/>
      <c r="E11" s="106"/>
      <c r="F11" s="115" t="s">
        <v>262</v>
      </c>
      <c r="G11" s="786"/>
      <c r="H11" s="783"/>
      <c r="I11" s="107" t="s">
        <v>263</v>
      </c>
      <c r="J11" s="111" t="s">
        <v>778</v>
      </c>
      <c r="K11" s="116"/>
      <c r="L11" s="106"/>
      <c r="M11" s="106"/>
      <c r="N11" s="106"/>
      <c r="O11" s="106"/>
      <c r="P11" s="106"/>
      <c r="Q11" s="106"/>
      <c r="R11" s="106"/>
      <c r="S11" s="106"/>
      <c r="T11" s="106"/>
      <c r="U11" s="106"/>
      <c r="V11" s="106"/>
      <c r="W11" s="106"/>
      <c r="X11" s="106"/>
      <c r="Y11" s="106"/>
      <c r="Z11" s="106"/>
      <c r="AA11" s="106"/>
      <c r="AB11" s="106"/>
      <c r="AC11" s="106"/>
      <c r="AD11" s="106"/>
      <c r="AE11" s="106"/>
      <c r="AF11" s="106"/>
      <c r="AG11" s="106"/>
      <c r="AH11" s="106"/>
      <c r="AI11" s="106"/>
      <c r="AJ11" s="106"/>
      <c r="AK11" s="106"/>
      <c r="AL11" s="106"/>
      <c r="AM11" s="106"/>
      <c r="AN11" s="106"/>
      <c r="AO11" s="106"/>
      <c r="AP11" s="106"/>
      <c r="AQ11" s="106"/>
      <c r="AR11" s="106"/>
      <c r="AS11" s="106"/>
      <c r="AT11" s="106"/>
      <c r="AU11" s="106"/>
      <c r="AV11" s="106"/>
      <c r="AW11" s="106"/>
      <c r="AX11" s="106"/>
      <c r="AY11" s="106"/>
      <c r="AZ11" s="106"/>
      <c r="BA11" s="106"/>
      <c r="BB11" s="106"/>
      <c r="BC11" s="106"/>
      <c r="BD11" s="106"/>
      <c r="BE11" s="106"/>
      <c r="BF11" s="106"/>
    </row>
    <row r="12" spans="1:58" s="114" customFormat="1" ht="25" customHeight="1" x14ac:dyDescent="0.35">
      <c r="A12" s="102"/>
      <c r="B12" s="102"/>
      <c r="C12" s="103"/>
      <c r="D12" s="102"/>
      <c r="E12" s="106"/>
      <c r="F12" s="107" t="s">
        <v>264</v>
      </c>
      <c r="G12" s="783" t="s">
        <v>779</v>
      </c>
      <c r="H12" s="783"/>
      <c r="I12" s="107" t="s">
        <v>265</v>
      </c>
      <c r="J12" s="111" t="s">
        <v>777</v>
      </c>
      <c r="K12" s="116"/>
      <c r="L12" s="106"/>
      <c r="M12" s="106"/>
      <c r="N12" s="106"/>
      <c r="O12" s="106"/>
      <c r="P12" s="106"/>
      <c r="Q12" s="106"/>
      <c r="R12" s="106"/>
      <c r="S12" s="106"/>
      <c r="T12" s="106"/>
      <c r="U12" s="106"/>
      <c r="V12" s="106"/>
      <c r="W12" s="106"/>
      <c r="X12" s="106"/>
      <c r="Y12" s="106"/>
      <c r="Z12" s="106"/>
      <c r="AA12" s="106"/>
      <c r="AB12" s="106"/>
      <c r="AC12" s="106"/>
      <c r="AD12" s="106"/>
      <c r="AE12" s="106"/>
      <c r="AF12" s="106"/>
      <c r="AG12" s="106"/>
      <c r="AH12" s="106"/>
      <c r="AI12" s="106"/>
      <c r="AJ12" s="106"/>
      <c r="AK12" s="106"/>
      <c r="AL12" s="106"/>
      <c r="AM12" s="106"/>
      <c r="AN12" s="106"/>
      <c r="AO12" s="106"/>
      <c r="AP12" s="106"/>
      <c r="AQ12" s="106"/>
      <c r="AR12" s="106"/>
      <c r="AS12" s="106"/>
      <c r="AT12" s="106"/>
      <c r="AU12" s="106"/>
      <c r="AV12" s="106"/>
      <c r="AW12" s="106"/>
      <c r="AX12" s="106"/>
      <c r="AY12" s="106"/>
      <c r="AZ12" s="106"/>
      <c r="BA12" s="106"/>
      <c r="BB12" s="106"/>
      <c r="BC12" s="106"/>
      <c r="BD12" s="106"/>
      <c r="BE12" s="106"/>
      <c r="BF12" s="106"/>
    </row>
    <row r="13" spans="1:58" s="114" customFormat="1" ht="25" customHeight="1" x14ac:dyDescent="0.35">
      <c r="A13" s="102"/>
      <c r="B13" s="102"/>
      <c r="C13" s="103"/>
      <c r="D13" s="102"/>
      <c r="E13" s="106"/>
      <c r="F13" s="106"/>
      <c r="G13" s="106"/>
      <c r="H13" s="106"/>
      <c r="I13" s="106"/>
      <c r="J13" s="106"/>
      <c r="K13" s="106"/>
      <c r="L13" s="106"/>
      <c r="M13" s="106"/>
      <c r="N13" s="106"/>
      <c r="O13" s="106"/>
      <c r="P13" s="106"/>
      <c r="Q13" s="106"/>
      <c r="R13" s="106"/>
      <c r="S13" s="106"/>
      <c r="T13" s="106"/>
      <c r="U13" s="106"/>
      <c r="V13" s="106"/>
      <c r="W13" s="106"/>
      <c r="X13" s="106"/>
      <c r="Y13" s="106"/>
      <c r="Z13" s="106"/>
      <c r="AA13" s="106"/>
      <c r="AB13" s="106"/>
      <c r="AC13" s="106"/>
      <c r="AD13" s="106"/>
      <c r="AE13" s="106"/>
      <c r="AF13" s="106"/>
      <c r="AG13" s="106"/>
      <c r="AH13" s="106"/>
      <c r="AI13" s="106"/>
      <c r="AJ13" s="106"/>
      <c r="AK13" s="106"/>
      <c r="AL13" s="106"/>
      <c r="AM13" s="106"/>
      <c r="AN13" s="106"/>
      <c r="AO13" s="106"/>
      <c r="AP13" s="106"/>
      <c r="AQ13" s="106"/>
      <c r="AR13" s="106"/>
      <c r="AS13" s="106"/>
      <c r="AT13" s="106"/>
      <c r="AU13" s="106"/>
      <c r="AV13" s="106"/>
      <c r="AW13" s="106"/>
      <c r="AX13" s="106"/>
      <c r="AY13" s="106"/>
      <c r="AZ13" s="106"/>
      <c r="BA13" s="106"/>
      <c r="BB13" s="106"/>
      <c r="BC13" s="106"/>
      <c r="BD13" s="106"/>
      <c r="BE13" s="106"/>
      <c r="BF13" s="106"/>
    </row>
    <row r="14" spans="1:58" s="114" customFormat="1" ht="25" customHeight="1" x14ac:dyDescent="0.35">
      <c r="A14" s="102"/>
      <c r="B14" s="102"/>
      <c r="C14" s="103"/>
      <c r="D14" s="102"/>
      <c r="E14" s="106"/>
      <c r="F14" s="106"/>
      <c r="G14" s="106"/>
      <c r="H14" s="106"/>
      <c r="I14" s="106"/>
      <c r="J14" s="106"/>
      <c r="K14" s="106"/>
      <c r="L14" s="106"/>
      <c r="M14" s="106"/>
      <c r="N14" s="106"/>
      <c r="O14" s="106"/>
      <c r="P14" s="106"/>
      <c r="Q14" s="106"/>
      <c r="R14" s="106"/>
      <c r="S14" s="106"/>
      <c r="T14" s="106"/>
      <c r="U14" s="106"/>
      <c r="V14" s="106"/>
      <c r="W14" s="106"/>
      <c r="X14" s="106"/>
      <c r="Y14" s="106"/>
      <c r="Z14" s="106"/>
      <c r="AA14" s="106"/>
      <c r="AB14" s="106"/>
      <c r="AC14" s="106"/>
      <c r="AD14" s="106"/>
      <c r="AE14" s="106"/>
      <c r="AF14" s="106"/>
      <c r="AG14" s="106"/>
      <c r="AH14" s="106"/>
      <c r="AI14" s="106"/>
      <c r="AJ14" s="106"/>
      <c r="AK14" s="106"/>
      <c r="AL14" s="106"/>
      <c r="AM14" s="106"/>
      <c r="AN14" s="106"/>
      <c r="AO14" s="106"/>
      <c r="AP14" s="106"/>
      <c r="AQ14" s="106"/>
      <c r="AR14" s="106"/>
      <c r="AS14" s="106"/>
      <c r="AT14" s="106"/>
      <c r="AU14" s="106"/>
      <c r="AV14" s="106"/>
      <c r="AW14" s="106"/>
      <c r="AX14" s="106"/>
      <c r="AY14" s="106"/>
      <c r="AZ14" s="106"/>
      <c r="BA14" s="106"/>
      <c r="BB14" s="106"/>
      <c r="BC14" s="106"/>
      <c r="BD14" s="106"/>
      <c r="BE14" s="106"/>
      <c r="BF14" s="106"/>
    </row>
    <row r="15" spans="1:58" s="114" customFormat="1" ht="25" customHeight="1" x14ac:dyDescent="0.35">
      <c r="A15" s="102"/>
      <c r="B15" s="102"/>
      <c r="C15" s="103"/>
      <c r="D15" s="102"/>
      <c r="E15" s="106"/>
      <c r="F15" s="106"/>
      <c r="G15" s="106"/>
      <c r="H15" s="106"/>
      <c r="I15" s="106"/>
      <c r="J15" s="106"/>
      <c r="K15" s="106"/>
      <c r="L15" s="106"/>
      <c r="M15" s="106"/>
      <c r="N15" s="106"/>
      <c r="O15" s="106"/>
      <c r="P15" s="106"/>
      <c r="Q15" s="106"/>
      <c r="R15" s="106"/>
      <c r="S15" s="106"/>
      <c r="T15" s="106"/>
      <c r="U15" s="106"/>
      <c r="V15" s="106"/>
      <c r="W15" s="106"/>
      <c r="X15" s="106"/>
      <c r="Y15" s="106"/>
      <c r="Z15" s="106"/>
      <c r="AA15" s="106"/>
      <c r="AB15" s="106"/>
      <c r="AC15" s="106"/>
      <c r="AD15" s="106"/>
      <c r="AE15" s="106"/>
      <c r="AF15" s="106"/>
      <c r="AG15" s="106"/>
      <c r="AH15" s="106"/>
      <c r="AI15" s="106"/>
      <c r="AJ15" s="106"/>
      <c r="AK15" s="106"/>
      <c r="AL15" s="106"/>
      <c r="AM15" s="106"/>
      <c r="AN15" s="106"/>
      <c r="AO15" s="106"/>
      <c r="AP15" s="106"/>
      <c r="AQ15" s="106"/>
      <c r="AR15" s="106"/>
      <c r="AS15" s="106"/>
      <c r="AT15" s="106"/>
      <c r="AU15" s="106"/>
      <c r="AV15" s="106"/>
      <c r="AW15" s="106"/>
      <c r="AX15" s="106"/>
      <c r="AY15" s="106"/>
      <c r="AZ15" s="106"/>
      <c r="BA15" s="106"/>
      <c r="BB15" s="106"/>
      <c r="BC15" s="106"/>
      <c r="BD15" s="106"/>
      <c r="BE15" s="106"/>
      <c r="BF15" s="106"/>
    </row>
    <row r="16" spans="1:58" s="114" customFormat="1" ht="25" customHeight="1" x14ac:dyDescent="0.35">
      <c r="A16" s="102"/>
      <c r="B16" s="102"/>
      <c r="C16" s="103"/>
      <c r="D16" s="102"/>
      <c r="E16" s="106"/>
      <c r="F16" s="106"/>
      <c r="G16" s="106"/>
      <c r="H16" s="106"/>
      <c r="I16" s="106"/>
      <c r="J16" s="106"/>
      <c r="K16" s="106"/>
      <c r="L16" s="106"/>
      <c r="M16" s="106"/>
      <c r="N16" s="106"/>
      <c r="O16" s="106"/>
      <c r="P16" s="106"/>
      <c r="Q16" s="106"/>
      <c r="R16" s="106"/>
      <c r="S16" s="106"/>
      <c r="T16" s="106"/>
      <c r="U16" s="106"/>
      <c r="V16" s="106"/>
      <c r="W16" s="106"/>
      <c r="X16" s="106"/>
      <c r="Y16" s="106"/>
      <c r="Z16" s="106"/>
      <c r="AA16" s="106"/>
      <c r="AB16" s="106"/>
      <c r="AC16" s="106"/>
      <c r="AD16" s="106"/>
      <c r="AE16" s="106"/>
      <c r="AF16" s="106"/>
      <c r="AG16" s="106"/>
      <c r="AH16" s="106"/>
      <c r="AI16" s="106"/>
      <c r="AJ16" s="106"/>
      <c r="AK16" s="106"/>
      <c r="AL16" s="106"/>
      <c r="AM16" s="106"/>
      <c r="AN16" s="106"/>
      <c r="AO16" s="106"/>
      <c r="AP16" s="106"/>
      <c r="AQ16" s="106"/>
      <c r="AR16" s="106"/>
      <c r="AS16" s="106"/>
      <c r="AT16" s="106"/>
      <c r="AU16" s="106"/>
      <c r="AV16" s="106"/>
      <c r="AW16" s="106"/>
      <c r="AX16" s="106"/>
      <c r="AY16" s="106"/>
      <c r="AZ16" s="106"/>
      <c r="BA16" s="106"/>
      <c r="BB16" s="106"/>
      <c r="BC16" s="106"/>
      <c r="BD16" s="106"/>
      <c r="BE16" s="106"/>
      <c r="BF16" s="106"/>
    </row>
    <row r="17" spans="1:58" s="114" customFormat="1" ht="25" customHeight="1" x14ac:dyDescent="0.35">
      <c r="A17" s="102"/>
      <c r="B17" s="102"/>
      <c r="C17" s="103"/>
      <c r="D17" s="102"/>
      <c r="E17" s="106"/>
      <c r="F17" s="106"/>
      <c r="G17" s="106"/>
      <c r="H17" s="106"/>
      <c r="I17" s="106"/>
      <c r="J17" s="106"/>
      <c r="K17" s="106"/>
      <c r="L17" s="106"/>
      <c r="N17" s="106"/>
      <c r="O17" s="106"/>
      <c r="P17" s="106"/>
      <c r="Q17" s="106"/>
      <c r="S17" s="106"/>
      <c r="U17" s="106"/>
      <c r="V17" s="106"/>
      <c r="W17" s="106"/>
      <c r="X17" s="106"/>
      <c r="Y17" s="106"/>
      <c r="Z17" s="106"/>
      <c r="AA17" s="106"/>
      <c r="AB17" s="106"/>
      <c r="AC17" s="106"/>
      <c r="AD17" s="106"/>
      <c r="AE17" s="106"/>
      <c r="AF17" s="106"/>
      <c r="AG17" s="106"/>
      <c r="AH17" s="106"/>
      <c r="AI17" s="106"/>
      <c r="AJ17" s="106"/>
      <c r="AK17" s="106"/>
      <c r="AL17" s="106"/>
      <c r="AM17" s="106"/>
      <c r="AN17" s="106"/>
      <c r="AO17" s="106"/>
      <c r="AP17" s="106"/>
      <c r="AQ17" s="106"/>
      <c r="AR17" s="106"/>
      <c r="AS17" s="106"/>
      <c r="AT17" s="106"/>
      <c r="AU17" s="106"/>
      <c r="AV17" s="106"/>
      <c r="AW17" s="106"/>
      <c r="AX17" s="106"/>
      <c r="AY17" s="106"/>
      <c r="AZ17" s="106"/>
      <c r="BA17" s="106"/>
      <c r="BB17" s="106"/>
      <c r="BC17" s="106"/>
      <c r="BD17" s="106"/>
      <c r="BE17" s="106"/>
      <c r="BF17" s="106"/>
    </row>
    <row r="18" spans="1:58" s="114" customFormat="1" ht="25" customHeight="1" x14ac:dyDescent="0.35">
      <c r="A18" s="102"/>
      <c r="B18" s="102"/>
      <c r="C18" s="103"/>
      <c r="D18" s="102"/>
      <c r="E18" s="106"/>
      <c r="F18" s="106"/>
      <c r="G18" s="106"/>
      <c r="H18" s="106"/>
      <c r="I18" s="106"/>
      <c r="J18" s="106"/>
      <c r="K18" s="106"/>
      <c r="L18" s="106"/>
      <c r="M18" s="113" t="s">
        <v>256</v>
      </c>
      <c r="N18" s="106"/>
      <c r="O18" s="106"/>
      <c r="P18" s="106"/>
      <c r="R18" s="113" t="s">
        <v>266</v>
      </c>
      <c r="S18" s="106"/>
      <c r="T18" s="106"/>
      <c r="U18" s="106"/>
      <c r="V18" s="106"/>
      <c r="W18" s="106"/>
      <c r="X18" s="106"/>
      <c r="Y18" s="106"/>
      <c r="Z18" s="106"/>
      <c r="AA18" s="106"/>
      <c r="AB18" s="106"/>
      <c r="AC18" s="106"/>
      <c r="AD18" s="106"/>
      <c r="AE18" s="106"/>
      <c r="AF18" s="106"/>
      <c r="AG18" s="106"/>
      <c r="AH18" s="106"/>
      <c r="AI18" s="106"/>
      <c r="AJ18" s="106"/>
      <c r="AK18" s="106"/>
      <c r="AL18" s="106"/>
      <c r="AM18" s="106"/>
      <c r="AN18" s="106"/>
      <c r="AO18" s="106"/>
      <c r="AP18" s="106"/>
      <c r="AQ18" s="106"/>
      <c r="AR18" s="106"/>
      <c r="AS18" s="106"/>
      <c r="AT18" s="106"/>
      <c r="AU18" s="106"/>
      <c r="AV18" s="106"/>
      <c r="AW18" s="106"/>
      <c r="AX18" s="106"/>
      <c r="AY18" s="106"/>
      <c r="AZ18" s="106"/>
      <c r="BA18" s="106"/>
      <c r="BB18" s="106"/>
      <c r="BC18" s="106"/>
      <c r="BD18" s="106"/>
      <c r="BE18" s="106"/>
      <c r="BF18" s="106"/>
    </row>
    <row r="19" spans="1:58" s="114" customFormat="1" ht="25" customHeight="1" x14ac:dyDescent="0.35">
      <c r="A19" s="102"/>
      <c r="B19" s="102"/>
      <c r="C19" s="103"/>
      <c r="D19" s="102"/>
      <c r="E19" s="106"/>
      <c r="F19" s="106"/>
      <c r="G19" s="106"/>
      <c r="H19" s="106"/>
      <c r="I19" s="106"/>
      <c r="J19" s="106"/>
      <c r="K19" s="106"/>
      <c r="L19" s="106"/>
      <c r="M19" s="106"/>
      <c r="N19" s="106"/>
      <c r="O19" s="106"/>
      <c r="P19" s="106"/>
      <c r="Q19" s="106"/>
      <c r="R19" s="106"/>
      <c r="S19" s="106"/>
      <c r="T19" s="106"/>
      <c r="U19" s="106"/>
      <c r="V19" s="106"/>
      <c r="W19" s="106"/>
      <c r="X19" s="106"/>
      <c r="Y19" s="106"/>
      <c r="Z19" s="106"/>
      <c r="AA19" s="106"/>
      <c r="AB19" s="106"/>
      <c r="AC19" s="106"/>
      <c r="AD19" s="106"/>
      <c r="AE19" s="106"/>
      <c r="AF19" s="106"/>
      <c r="AG19" s="106"/>
      <c r="AH19" s="106"/>
      <c r="AI19" s="106"/>
      <c r="AJ19" s="106"/>
      <c r="AK19" s="106"/>
      <c r="AL19" s="106"/>
      <c r="AM19" s="106"/>
      <c r="AN19" s="106"/>
      <c r="AO19" s="106"/>
      <c r="AP19" s="106"/>
      <c r="AQ19" s="106"/>
      <c r="AR19" s="106"/>
      <c r="AS19" s="106"/>
      <c r="AT19" s="106"/>
      <c r="AU19" s="106"/>
      <c r="AV19" s="106"/>
      <c r="AW19" s="106"/>
      <c r="AX19" s="106"/>
      <c r="AY19" s="106"/>
      <c r="AZ19" s="106"/>
      <c r="BA19" s="106"/>
      <c r="BB19" s="106"/>
      <c r="BC19" s="106"/>
      <c r="BD19" s="106"/>
      <c r="BE19" s="106"/>
      <c r="BF19" s="106"/>
    </row>
    <row r="20" spans="1:58" s="114" customFormat="1" ht="25" customHeight="1" x14ac:dyDescent="0.35">
      <c r="A20" s="102"/>
      <c r="B20" s="102"/>
      <c r="C20" s="103"/>
      <c r="D20" s="102"/>
      <c r="E20" s="106"/>
      <c r="F20" s="106"/>
      <c r="G20" s="106"/>
      <c r="H20" s="106"/>
      <c r="I20" s="106"/>
      <c r="J20" s="106"/>
      <c r="K20" s="106"/>
      <c r="L20" s="106"/>
      <c r="M20" s="106"/>
      <c r="N20" s="106"/>
      <c r="O20" s="106"/>
      <c r="P20" s="106"/>
      <c r="Q20" s="106"/>
      <c r="R20" s="106"/>
      <c r="S20" s="106"/>
      <c r="T20" s="106"/>
      <c r="U20" s="106"/>
      <c r="V20" s="106"/>
      <c r="W20" s="106"/>
      <c r="X20" s="106"/>
      <c r="Y20" s="106"/>
      <c r="Z20" s="106"/>
      <c r="AA20" s="106"/>
      <c r="AB20" s="106"/>
      <c r="AC20" s="106"/>
      <c r="AD20" s="106"/>
      <c r="AE20" s="106"/>
      <c r="AF20" s="106"/>
      <c r="AG20" s="106"/>
      <c r="AH20" s="106"/>
      <c r="AI20" s="106"/>
      <c r="AJ20" s="106"/>
      <c r="AK20" s="106"/>
      <c r="AL20" s="106"/>
      <c r="AM20" s="106"/>
      <c r="AN20" s="106"/>
      <c r="AO20" s="106"/>
      <c r="AP20" s="106"/>
      <c r="AQ20" s="106"/>
      <c r="AR20" s="106"/>
      <c r="AS20" s="106"/>
      <c r="AT20" s="106"/>
      <c r="AU20" s="106"/>
      <c r="AV20" s="106"/>
      <c r="AW20" s="106"/>
      <c r="AX20" s="106"/>
      <c r="AY20" s="106"/>
      <c r="AZ20" s="106"/>
      <c r="BA20" s="106"/>
      <c r="BB20" s="106"/>
      <c r="BC20" s="106"/>
      <c r="BD20" s="106"/>
      <c r="BE20" s="106"/>
      <c r="BF20" s="106"/>
    </row>
    <row r="21" spans="1:58" s="114" customFormat="1" ht="25" customHeight="1" x14ac:dyDescent="0.35">
      <c r="A21" s="102"/>
      <c r="B21" s="102"/>
      <c r="C21" s="103"/>
      <c r="D21" s="102"/>
      <c r="E21" s="106"/>
      <c r="F21" s="106"/>
      <c r="G21" s="106"/>
      <c r="H21" s="106"/>
      <c r="I21" s="106"/>
      <c r="J21" s="106"/>
      <c r="K21" s="106"/>
      <c r="L21" s="106"/>
      <c r="M21" s="106"/>
      <c r="N21" s="106"/>
      <c r="O21" s="106"/>
      <c r="P21" s="106"/>
      <c r="Q21" s="106"/>
      <c r="R21" s="106"/>
      <c r="S21" s="106"/>
      <c r="T21" s="106"/>
      <c r="U21" s="106"/>
      <c r="V21" s="106"/>
      <c r="W21" s="106"/>
      <c r="X21" s="106"/>
      <c r="Y21" s="106"/>
      <c r="Z21" s="106"/>
      <c r="AA21" s="106"/>
      <c r="AB21" s="106"/>
      <c r="AC21" s="106"/>
      <c r="AD21" s="106"/>
      <c r="AE21" s="106"/>
      <c r="AF21" s="106"/>
      <c r="AG21" s="106"/>
      <c r="AH21" s="106"/>
      <c r="AI21" s="106"/>
      <c r="AJ21" s="106"/>
      <c r="AK21" s="106"/>
      <c r="AL21" s="106"/>
      <c r="AM21" s="106"/>
      <c r="AN21" s="106"/>
      <c r="AO21" s="106"/>
      <c r="AP21" s="106"/>
      <c r="AQ21" s="106"/>
      <c r="AR21" s="106"/>
      <c r="AS21" s="106"/>
      <c r="AT21" s="106"/>
      <c r="AU21" s="106"/>
      <c r="AV21" s="106"/>
      <c r="AW21" s="106"/>
      <c r="AX21" s="106"/>
      <c r="AY21" s="106"/>
      <c r="AZ21" s="106"/>
      <c r="BA21" s="106"/>
      <c r="BB21" s="106"/>
      <c r="BC21" s="106"/>
      <c r="BD21" s="106"/>
      <c r="BE21" s="106"/>
      <c r="BF21" s="106"/>
    </row>
    <row r="22" spans="1:58" s="114" customFormat="1" ht="25" customHeight="1" x14ac:dyDescent="0.35">
      <c r="A22" s="102"/>
      <c r="B22" s="102"/>
      <c r="C22" s="103"/>
      <c r="D22" s="102"/>
      <c r="E22" s="106"/>
      <c r="F22" s="106"/>
      <c r="G22" s="106"/>
      <c r="H22" s="106"/>
      <c r="I22" s="106"/>
      <c r="J22" s="106"/>
      <c r="K22" s="106"/>
      <c r="L22" s="106"/>
      <c r="M22" s="106"/>
      <c r="N22" s="106"/>
      <c r="O22" s="106"/>
      <c r="P22" s="106"/>
      <c r="Q22" s="106"/>
      <c r="R22" s="106"/>
      <c r="S22" s="106"/>
      <c r="T22" s="106"/>
      <c r="U22" s="106"/>
      <c r="V22" s="106"/>
      <c r="W22" s="106"/>
      <c r="X22" s="106"/>
      <c r="Y22" s="106"/>
      <c r="Z22" s="106"/>
      <c r="AA22" s="106"/>
      <c r="AB22" s="106"/>
      <c r="AC22" s="106"/>
      <c r="AD22" s="106"/>
      <c r="AE22" s="106"/>
      <c r="AF22" s="106"/>
      <c r="AG22" s="106"/>
      <c r="AH22" s="106"/>
      <c r="AI22" s="106"/>
      <c r="AJ22" s="106"/>
      <c r="AK22" s="106"/>
      <c r="AL22" s="106"/>
      <c r="AM22" s="106"/>
      <c r="AN22" s="106"/>
      <c r="AO22" s="106"/>
      <c r="AP22" s="106"/>
      <c r="AQ22" s="106"/>
      <c r="AR22" s="106"/>
      <c r="AS22" s="106"/>
      <c r="AT22" s="106"/>
      <c r="AU22" s="106"/>
      <c r="AV22" s="106"/>
      <c r="AW22" s="106"/>
      <c r="AX22" s="106"/>
      <c r="AY22" s="106"/>
      <c r="AZ22" s="106"/>
      <c r="BA22" s="106"/>
      <c r="BB22" s="106"/>
      <c r="BC22" s="106"/>
      <c r="BD22" s="106"/>
      <c r="BE22" s="106"/>
      <c r="BF22" s="106"/>
    </row>
    <row r="23" spans="1:58" s="114" customFormat="1" ht="25" customHeight="1" x14ac:dyDescent="0.35">
      <c r="A23" s="102"/>
      <c r="B23" s="102"/>
      <c r="C23" s="103"/>
      <c r="D23" s="102"/>
      <c r="E23" s="106"/>
      <c r="F23" s="106"/>
      <c r="G23" s="106"/>
      <c r="H23" s="106"/>
      <c r="I23" s="106"/>
      <c r="J23" s="106"/>
      <c r="K23" s="106"/>
      <c r="L23" s="106"/>
      <c r="M23" s="106"/>
      <c r="N23" s="106"/>
      <c r="O23" s="106"/>
      <c r="P23" s="106"/>
      <c r="Q23" s="106"/>
      <c r="R23" s="106"/>
      <c r="S23" s="106"/>
      <c r="T23" s="106"/>
      <c r="U23" s="106"/>
      <c r="V23" s="106"/>
      <c r="W23" s="106"/>
      <c r="X23" s="106"/>
      <c r="Y23" s="106"/>
      <c r="Z23" s="106"/>
      <c r="AA23" s="106"/>
      <c r="AB23" s="106"/>
      <c r="AC23" s="106"/>
      <c r="AD23" s="106"/>
      <c r="AE23" s="106"/>
      <c r="AF23" s="106"/>
      <c r="AG23" s="106"/>
      <c r="AH23" s="106"/>
      <c r="AI23" s="106"/>
      <c r="AJ23" s="106"/>
      <c r="AK23" s="106"/>
      <c r="AL23" s="106"/>
      <c r="AM23" s="106"/>
      <c r="AN23" s="106"/>
      <c r="AO23" s="106"/>
      <c r="AP23" s="106"/>
      <c r="AQ23" s="106"/>
      <c r="AR23" s="106"/>
      <c r="AS23" s="106"/>
      <c r="AT23" s="106"/>
      <c r="AU23" s="106"/>
      <c r="AV23" s="106"/>
      <c r="AW23" s="106"/>
      <c r="AX23" s="106"/>
      <c r="AY23" s="106"/>
      <c r="AZ23" s="106"/>
      <c r="BA23" s="106"/>
      <c r="BB23" s="106"/>
      <c r="BC23" s="106"/>
      <c r="BD23" s="106"/>
      <c r="BE23" s="106"/>
      <c r="BF23" s="106"/>
    </row>
    <row r="24" spans="1:58" s="114" customFormat="1" ht="25" customHeight="1" x14ac:dyDescent="0.35">
      <c r="A24" s="102"/>
      <c r="B24" s="102"/>
      <c r="C24" s="103"/>
      <c r="D24" s="102"/>
      <c r="E24" s="106"/>
      <c r="F24" s="106"/>
      <c r="G24" s="106"/>
      <c r="H24" s="106"/>
      <c r="I24" s="106"/>
      <c r="J24" s="106"/>
      <c r="K24" s="106"/>
      <c r="L24" s="106"/>
      <c r="M24" s="106"/>
      <c r="N24" s="106"/>
      <c r="O24" s="106"/>
      <c r="P24" s="106"/>
      <c r="Q24" s="106"/>
      <c r="R24" s="106"/>
      <c r="S24" s="106"/>
      <c r="T24" s="106"/>
      <c r="U24" s="106"/>
      <c r="V24" s="106"/>
      <c r="W24" s="106"/>
      <c r="X24" s="106"/>
      <c r="Y24" s="106"/>
      <c r="Z24" s="106"/>
      <c r="AA24" s="106"/>
      <c r="AB24" s="106"/>
      <c r="AC24" s="106"/>
      <c r="AD24" s="106"/>
      <c r="AE24" s="106"/>
      <c r="AF24" s="106"/>
      <c r="AG24" s="106"/>
      <c r="AH24" s="106"/>
      <c r="AI24" s="106"/>
      <c r="AJ24" s="106"/>
      <c r="AK24" s="106"/>
      <c r="AL24" s="106"/>
      <c r="AM24" s="106"/>
      <c r="AN24" s="106"/>
      <c r="AO24" s="106"/>
      <c r="AP24" s="106"/>
      <c r="AQ24" s="106"/>
      <c r="AR24" s="106"/>
      <c r="AS24" s="106"/>
      <c r="AT24" s="106"/>
      <c r="AU24" s="106"/>
      <c r="AV24" s="106"/>
      <c r="AW24" s="106"/>
      <c r="AX24" s="106"/>
      <c r="AY24" s="106"/>
      <c r="AZ24" s="106"/>
      <c r="BA24" s="106"/>
      <c r="BB24" s="106"/>
      <c r="BC24" s="106"/>
      <c r="BD24" s="106"/>
      <c r="BE24" s="106"/>
      <c r="BF24" s="106"/>
    </row>
    <row r="25" spans="1:58" s="102" customFormat="1" x14ac:dyDescent="0.35">
      <c r="C25" s="103"/>
    </row>
    <row r="26" spans="1:58" s="102" customFormat="1" x14ac:dyDescent="0.35">
      <c r="C26" s="103"/>
    </row>
    <row r="27" spans="1:58" s="102" customFormat="1" x14ac:dyDescent="0.35">
      <c r="C27" s="103"/>
    </row>
    <row r="28" spans="1:58" s="102" customFormat="1" x14ac:dyDescent="0.35">
      <c r="C28" s="103"/>
    </row>
    <row r="29" spans="1:58" s="102" customFormat="1" x14ac:dyDescent="0.35">
      <c r="C29" s="103"/>
    </row>
    <row r="30" spans="1:58" s="102" customFormat="1" x14ac:dyDescent="0.35">
      <c r="C30" s="103"/>
    </row>
    <row r="31" spans="1:58" s="102" customFormat="1" x14ac:dyDescent="0.35">
      <c r="C31" s="103"/>
    </row>
    <row r="32" spans="1:58" s="102" customFormat="1" x14ac:dyDescent="0.35">
      <c r="C32" s="103"/>
    </row>
    <row r="33" spans="3:3" s="102" customFormat="1" x14ac:dyDescent="0.35">
      <c r="C33" s="103"/>
    </row>
    <row r="34" spans="3:3" s="102" customFormat="1" x14ac:dyDescent="0.35">
      <c r="C34" s="103"/>
    </row>
    <row r="35" spans="3:3" s="102" customFormat="1" x14ac:dyDescent="0.35">
      <c r="C35" s="103"/>
    </row>
    <row r="36" spans="3:3" s="102" customFormat="1" x14ac:dyDescent="0.35">
      <c r="C36" s="103"/>
    </row>
    <row r="37" spans="3:3" s="102" customFormat="1" x14ac:dyDescent="0.35">
      <c r="C37" s="103"/>
    </row>
    <row r="38" spans="3:3" s="102" customFormat="1" x14ac:dyDescent="0.35">
      <c r="C38" s="103"/>
    </row>
    <row r="39" spans="3:3" s="102" customFormat="1" x14ac:dyDescent="0.35">
      <c r="C39" s="103"/>
    </row>
    <row r="40" spans="3:3" s="102" customFormat="1" x14ac:dyDescent="0.35">
      <c r="C40" s="103"/>
    </row>
    <row r="41" spans="3:3" s="102" customFormat="1" x14ac:dyDescent="0.35">
      <c r="C41" s="103"/>
    </row>
    <row r="42" spans="3:3" s="102" customFormat="1" x14ac:dyDescent="0.35">
      <c r="C42" s="103"/>
    </row>
    <row r="43" spans="3:3" s="102" customFormat="1" x14ac:dyDescent="0.35">
      <c r="C43" s="103"/>
    </row>
    <row r="44" spans="3:3" s="102" customFormat="1" x14ac:dyDescent="0.35">
      <c r="C44" s="103"/>
    </row>
    <row r="45" spans="3:3" s="102" customFormat="1" x14ac:dyDescent="0.35">
      <c r="C45" s="103"/>
    </row>
    <row r="46" spans="3:3" s="102" customFormat="1" x14ac:dyDescent="0.35">
      <c r="C46" s="103"/>
    </row>
    <row r="47" spans="3:3" s="102" customFormat="1" x14ac:dyDescent="0.35">
      <c r="C47" s="103"/>
    </row>
    <row r="48" spans="3:3" s="102" customFormat="1" x14ac:dyDescent="0.35">
      <c r="C48" s="103"/>
    </row>
    <row r="49" spans="3:3" s="102" customFormat="1" x14ac:dyDescent="0.35">
      <c r="C49" s="103"/>
    </row>
    <row r="50" spans="3:3" s="102" customFormat="1" x14ac:dyDescent="0.35">
      <c r="C50" s="103"/>
    </row>
    <row r="51" spans="3:3" s="102" customFormat="1" x14ac:dyDescent="0.35">
      <c r="C51" s="103"/>
    </row>
    <row r="52" spans="3:3" s="102" customFormat="1" x14ac:dyDescent="0.35">
      <c r="C52" s="103"/>
    </row>
    <row r="53" spans="3:3" s="102" customFormat="1" x14ac:dyDescent="0.35">
      <c r="C53" s="103"/>
    </row>
    <row r="54" spans="3:3" s="102" customFormat="1" x14ac:dyDescent="0.35">
      <c r="C54" s="103"/>
    </row>
    <row r="55" spans="3:3" s="102" customFormat="1" x14ac:dyDescent="0.35">
      <c r="C55" s="103"/>
    </row>
    <row r="56" spans="3:3" s="102" customFormat="1" x14ac:dyDescent="0.35">
      <c r="C56" s="103"/>
    </row>
    <row r="57" spans="3:3" s="102" customFormat="1" x14ac:dyDescent="0.35">
      <c r="C57" s="103"/>
    </row>
  </sheetData>
  <sheetProtection algorithmName="SHA-512" hashValue="gOBz3NA+Yh9zNYld46KSlr3nl3STF+ZfpZu4cnNB7cftTTGuKMM3Q5B5CN0GkK9rHW00Q1LtI0234HxVMt2hbA==" saltValue="1GA3w3aNXL/DGv/L8gVwFA==" spinCount="100000" sheet="1" objects="1" scenarios="1"/>
  <mergeCells count="7">
    <mergeCell ref="G12:H12"/>
    <mergeCell ref="G8:H8"/>
    <mergeCell ref="J8:K8"/>
    <mergeCell ref="G9:K9"/>
    <mergeCell ref="G10:H10"/>
    <mergeCell ref="J10:K10"/>
    <mergeCell ref="G11:H11"/>
  </mergeCells>
  <conditionalFormatting sqref="G26">
    <cfRule type="iconSet" priority="1">
      <iconSet iconSet="3Symbols">
        <cfvo type="percent" val="0"/>
        <cfvo type="percent" val="33"/>
        <cfvo type="percent" val="67"/>
      </iconSet>
    </cfRule>
  </conditionalFormatting>
  <pageMargins left="0.7" right="0.7" top="0.75" bottom="0.75" header="0.3" footer="0.3"/>
  <pageSetup paperSize="9" orientation="portrait" r:id="rId1"/>
  <drawing r:id="rId2"/>
  <legacyDrawing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66FF"/>
  </sheetPr>
  <dimension ref="A1:BG133"/>
  <sheetViews>
    <sheetView zoomScaleNormal="100" workbookViewId="0">
      <pane ySplit="1" topLeftCell="A2" activePane="bottomLeft" state="frozen"/>
      <selection activeCell="E1" sqref="E1"/>
      <selection pane="bottomLeft" activeCell="E1" sqref="E1"/>
    </sheetView>
  </sheetViews>
  <sheetFormatPr defaultColWidth="9.1796875" defaultRowHeight="14.5" x14ac:dyDescent="0.35"/>
  <cols>
    <col min="1" max="1" width="2.6328125" style="49" customWidth="1"/>
    <col min="2" max="2" width="2.6328125" style="44" customWidth="1"/>
    <col min="3" max="8" width="10.6328125" style="44" customWidth="1"/>
    <col min="9" max="9" width="12.6328125" style="44" customWidth="1"/>
    <col min="10" max="10" width="2.6328125" style="49" customWidth="1"/>
    <col min="11" max="11" width="17.6328125" style="44" customWidth="1"/>
    <col min="12" max="12" width="11.6328125" style="44" customWidth="1"/>
    <col min="13" max="13" width="10.6328125" style="44" customWidth="1"/>
    <col min="14" max="14" width="8.6328125" style="44" customWidth="1"/>
    <col min="15" max="15" width="11.6328125" style="44" customWidth="1"/>
    <col min="16" max="17" width="10.6328125" style="44" customWidth="1"/>
    <col min="18" max="18" width="2.6328125" style="49" customWidth="1"/>
    <col min="19" max="19" width="2.6328125" style="44" customWidth="1"/>
    <col min="20" max="20" width="14.6328125" style="44" customWidth="1"/>
    <col min="21" max="21" width="8.6328125" style="44" customWidth="1"/>
    <col min="22" max="27" width="10.6328125" style="44" customWidth="1"/>
    <col min="28" max="28" width="2.6328125" style="49" customWidth="1"/>
    <col min="29" max="32" width="10.6328125" style="424" hidden="1" customWidth="1"/>
    <col min="33" max="35" width="10.6328125" style="564" hidden="1" customWidth="1"/>
    <col min="36" max="36" width="2.6328125" style="49" customWidth="1"/>
    <col min="37" max="37" width="29.453125" style="46" customWidth="1"/>
    <col min="38" max="38" width="36.6328125" style="44" bestFit="1" customWidth="1"/>
    <col min="39" max="39" width="2.6328125" style="49" customWidth="1"/>
    <col min="40" max="40" width="72" style="44" customWidth="1"/>
    <col min="41" max="49" width="10.6328125" style="49" customWidth="1"/>
    <col min="50" max="59" width="9.1796875" style="49"/>
    <col min="60" max="16384" width="9.1796875" style="44"/>
  </cols>
  <sheetData>
    <row r="1" spans="1:59" s="410" customFormat="1" ht="27" customHeight="1" x14ac:dyDescent="0.35">
      <c r="A1" s="408"/>
      <c r="B1" s="408"/>
      <c r="C1" s="408"/>
      <c r="D1" s="409"/>
      <c r="E1" s="409" t="s">
        <v>408</v>
      </c>
      <c r="F1" s="408"/>
      <c r="G1" s="408"/>
      <c r="H1" s="408"/>
      <c r="I1" s="408"/>
      <c r="J1" s="408"/>
      <c r="K1" s="408" t="str">
        <f>CONCATENATE(Etusivu!$F$10,," ",Etusivu!$G$10,", ",Etusivu!$F$7," ",Etusivu!$G$7)</f>
        <v>Laskelman laatija: Lappari-elinkeino -hanke, Laskelmavuosi: 2021</v>
      </c>
      <c r="L1" s="408"/>
      <c r="M1" s="408"/>
      <c r="N1" s="408"/>
      <c r="O1" s="408"/>
      <c r="P1" s="408"/>
      <c r="Q1" s="411"/>
      <c r="R1" s="408"/>
      <c r="S1" s="408"/>
      <c r="T1" s="408"/>
      <c r="U1" s="408"/>
      <c r="V1" s="408"/>
      <c r="W1" s="408"/>
      <c r="X1" s="408"/>
      <c r="Y1" s="408"/>
      <c r="Z1" s="408"/>
      <c r="AA1" s="408"/>
      <c r="AB1" s="408"/>
      <c r="AC1" s="558"/>
      <c r="AD1" s="558"/>
      <c r="AE1" s="558"/>
      <c r="AF1" s="558"/>
      <c r="AG1" s="563"/>
      <c r="AH1" s="563"/>
      <c r="AI1" s="563"/>
      <c r="AJ1" s="408"/>
      <c r="AK1" s="408"/>
      <c r="AL1" s="408"/>
      <c r="AM1" s="408"/>
      <c r="AN1" s="408"/>
      <c r="AO1" s="408"/>
      <c r="AP1" s="408"/>
      <c r="AQ1" s="408"/>
      <c r="AR1" s="408"/>
      <c r="AS1" s="408"/>
      <c r="AT1" s="408"/>
      <c r="AU1" s="408"/>
      <c r="AV1" s="408"/>
      <c r="AW1" s="408"/>
      <c r="AX1" s="408"/>
      <c r="AY1" s="408"/>
      <c r="AZ1" s="408"/>
      <c r="BA1" s="408"/>
      <c r="BB1" s="408"/>
      <c r="BC1" s="408"/>
      <c r="BD1" s="408"/>
      <c r="BE1" s="408"/>
      <c r="BF1" s="408"/>
      <c r="BG1" s="408"/>
    </row>
    <row r="2" spans="1:59" s="2" customFormat="1" ht="14.25" customHeight="1" x14ac:dyDescent="0.35">
      <c r="A2" s="3"/>
      <c r="B2" s="4"/>
      <c r="C2" s="1"/>
      <c r="D2" s="1"/>
      <c r="E2" s="1"/>
      <c r="F2" s="1"/>
      <c r="G2" s="1"/>
      <c r="H2" s="1"/>
      <c r="I2" s="1"/>
      <c r="J2" s="1"/>
      <c r="K2" s="216"/>
      <c r="L2" s="1"/>
      <c r="M2" s="1"/>
      <c r="N2" s="1"/>
      <c r="O2" s="1"/>
      <c r="P2" s="1"/>
      <c r="Q2" s="1"/>
      <c r="R2" s="1"/>
      <c r="S2" s="1"/>
      <c r="T2" s="1"/>
      <c r="U2" s="1"/>
      <c r="V2" s="1"/>
      <c r="W2" s="1"/>
      <c r="X2" s="1"/>
      <c r="Y2" s="1"/>
      <c r="Z2" s="1"/>
      <c r="AA2" s="1"/>
      <c r="AB2" s="1"/>
      <c r="AC2" s="559"/>
      <c r="AD2" s="559"/>
      <c r="AE2" s="559"/>
      <c r="AF2" s="559"/>
      <c r="AG2" s="564"/>
      <c r="AH2" s="564"/>
      <c r="AI2" s="564"/>
      <c r="AJ2" s="1"/>
      <c r="AK2" s="1"/>
      <c r="AL2" s="1"/>
      <c r="AM2" s="1"/>
      <c r="AN2" s="1"/>
      <c r="AO2" s="1"/>
      <c r="AP2" s="1"/>
      <c r="AQ2" s="1"/>
      <c r="AR2" s="1"/>
      <c r="AS2" s="1"/>
      <c r="AT2" s="1"/>
      <c r="AU2" s="1"/>
      <c r="AV2" s="1"/>
      <c r="AW2" s="1"/>
      <c r="AX2" s="1"/>
      <c r="AY2" s="1"/>
      <c r="AZ2" s="1"/>
      <c r="BA2" s="1"/>
      <c r="BB2" s="1"/>
      <c r="BC2" s="1"/>
      <c r="BD2" s="1"/>
      <c r="BE2" s="1"/>
      <c r="BF2" s="1"/>
      <c r="BG2" s="1"/>
    </row>
    <row r="3" spans="1:59" ht="20" customHeight="1" thickBot="1" x14ac:dyDescent="0.5">
      <c r="B3" s="575" t="s">
        <v>0</v>
      </c>
      <c r="C3" s="575"/>
      <c r="D3" s="575"/>
      <c r="E3" s="575"/>
      <c r="F3" s="575"/>
      <c r="G3" s="575"/>
      <c r="H3" s="575"/>
      <c r="I3" s="575"/>
      <c r="K3" s="575" t="s">
        <v>475</v>
      </c>
      <c r="L3" s="576"/>
      <c r="M3" s="576"/>
      <c r="N3" s="576"/>
      <c r="O3" s="577" t="s">
        <v>405</v>
      </c>
      <c r="P3" s="578" t="str">
        <f>IF(E7=0,"Tarkista",E7)</f>
        <v>Tarkista</v>
      </c>
      <c r="Q3" s="579" t="s">
        <v>79</v>
      </c>
      <c r="S3" s="39"/>
      <c r="U3" s="39"/>
      <c r="V3" s="39"/>
      <c r="W3" s="39"/>
      <c r="X3" s="39"/>
      <c r="Y3" s="39"/>
      <c r="Z3" s="39"/>
      <c r="AA3" s="876"/>
      <c r="AK3" s="43"/>
      <c r="AL3" s="43"/>
      <c r="AN3" s="43"/>
    </row>
    <row r="4" spans="1:59" ht="22.5" thickTop="1" x14ac:dyDescent="0.35">
      <c r="B4" s="39"/>
      <c r="C4" s="39"/>
      <c r="D4" s="39"/>
      <c r="E4" s="50" t="s">
        <v>84</v>
      </c>
      <c r="F4" s="50" t="s">
        <v>418</v>
      </c>
      <c r="G4" s="50" t="s">
        <v>1</v>
      </c>
      <c r="H4" s="50" t="s">
        <v>406</v>
      </c>
      <c r="I4" s="50" t="s">
        <v>2</v>
      </c>
      <c r="K4" s="51" t="s">
        <v>77</v>
      </c>
      <c r="L4" s="294" t="s">
        <v>281</v>
      </c>
      <c r="M4" s="663" t="s">
        <v>490</v>
      </c>
      <c r="N4" s="401" t="s">
        <v>491</v>
      </c>
      <c r="O4" s="402" t="s">
        <v>484</v>
      </c>
      <c r="P4" s="184" t="s">
        <v>486</v>
      </c>
      <c r="Q4" s="184"/>
      <c r="S4" s="677" t="s">
        <v>663</v>
      </c>
      <c r="T4" s="678"/>
      <c r="U4" s="679"/>
      <c r="V4" s="39"/>
      <c r="W4" s="39"/>
      <c r="X4" s="39"/>
      <c r="Y4" s="39"/>
      <c r="Z4" s="39"/>
      <c r="AA4" s="876"/>
    </row>
    <row r="5" spans="1:59" ht="15" customHeight="1" x14ac:dyDescent="0.35">
      <c r="B5" s="9">
        <v>1</v>
      </c>
      <c r="C5" s="874" t="s">
        <v>770</v>
      </c>
      <c r="D5" s="875"/>
      <c r="E5" s="215">
        <f>'Rehun käyttö, nettosato'!E5</f>
        <v>20</v>
      </c>
      <c r="F5" s="36">
        <f>'Rehun käyttö, nettosato'!F5</f>
        <v>6000</v>
      </c>
      <c r="G5" s="36">
        <f t="shared" ref="G5:G10" si="0">E5*F5</f>
        <v>120000</v>
      </c>
      <c r="H5" s="53">
        <f>IF(E5=0,0,Energiantarve!O11)</f>
        <v>56407.14263249292</v>
      </c>
      <c r="I5" s="53">
        <f>Energiantarve!P11</f>
        <v>1128142.8526498585</v>
      </c>
      <c r="K5" s="14" t="s">
        <v>626</v>
      </c>
      <c r="L5" s="36">
        <f>Lähtötiedot!L10+Lähtötiedot!L11</f>
        <v>13072</v>
      </c>
      <c r="M5" s="36">
        <f>G9+G10</f>
        <v>3056</v>
      </c>
      <c r="N5" s="124">
        <f>IF(M5=0,0,L5/M5)</f>
        <v>4.2774869109947646</v>
      </c>
      <c r="O5" s="269">
        <f>IF(P$3="Tarkista",0,M5*N5/P$3)</f>
        <v>0</v>
      </c>
      <c r="P5" s="184" t="s">
        <v>487</v>
      </c>
      <c r="Q5" s="220">
        <f>O5</f>
        <v>0</v>
      </c>
      <c r="S5" s="680"/>
      <c r="T5" s="671">
        <f>V42/100</f>
        <v>0</v>
      </c>
      <c r="U5" s="681" t="s">
        <v>674</v>
      </c>
      <c r="V5" s="39"/>
      <c r="W5" s="39"/>
      <c r="X5" s="39"/>
      <c r="Y5" s="39"/>
      <c r="Z5" s="39"/>
      <c r="AA5" s="876"/>
    </row>
    <row r="6" spans="1:59" x14ac:dyDescent="0.35">
      <c r="B6" s="9">
        <v>2</v>
      </c>
      <c r="C6" s="874" t="s">
        <v>771</v>
      </c>
      <c r="D6" s="875"/>
      <c r="E6" s="215">
        <f>'Rehun käyttö, nettosato'!E6</f>
        <v>4</v>
      </c>
      <c r="F6" s="36">
        <f>'Rehun käyttö, nettosato'!F6</f>
        <v>1</v>
      </c>
      <c r="G6" s="36">
        <f t="shared" si="0"/>
        <v>4</v>
      </c>
      <c r="H6" s="53">
        <f>IF(E6=0,0,Energiantarve!O17/(Energiantarve!I14/365))</f>
        <v>27081.950718685832</v>
      </c>
      <c r="I6" s="53">
        <f>Energiantarve!P17</f>
        <v>216804</v>
      </c>
      <c r="K6" s="300" t="s">
        <v>627</v>
      </c>
      <c r="L6" s="36">
        <f>Lähtötiedot!L9</f>
        <v>0</v>
      </c>
      <c r="M6" s="215">
        <f>G7</f>
        <v>0</v>
      </c>
      <c r="N6" s="36">
        <f>IF(M6=0,0,L6/M6)</f>
        <v>0</v>
      </c>
      <c r="O6" s="269">
        <f>IF(P$3="Tarkista",0,M6*N6/P$3)</f>
        <v>0</v>
      </c>
      <c r="P6" s="184" t="s">
        <v>495</v>
      </c>
      <c r="Q6" s="220">
        <f>O6</f>
        <v>0</v>
      </c>
      <c r="S6" s="682" t="s">
        <v>665</v>
      </c>
      <c r="T6" s="672"/>
      <c r="U6" s="683"/>
      <c r="V6" s="39"/>
      <c r="W6" s="39"/>
      <c r="X6" s="39"/>
      <c r="Y6" s="39"/>
      <c r="Z6" s="39"/>
      <c r="AA6" s="876"/>
    </row>
    <row r="7" spans="1:59" ht="15.75" customHeight="1" x14ac:dyDescent="0.35">
      <c r="B7" s="9">
        <v>3</v>
      </c>
      <c r="C7" s="874" t="s">
        <v>3</v>
      </c>
      <c r="D7" s="875"/>
      <c r="E7" s="215">
        <f>'Rehun käyttö, nettosato'!E7</f>
        <v>0</v>
      </c>
      <c r="F7" s="727">
        <f>'Rehun käyttö, nettosato'!F7</f>
        <v>0</v>
      </c>
      <c r="G7" s="36">
        <f t="shared" si="0"/>
        <v>0</v>
      </c>
      <c r="H7" s="53">
        <f>IF(E7=0,0,Energiantarve!O23)</f>
        <v>0</v>
      </c>
      <c r="I7" s="53">
        <f>Energiantarve!P23</f>
        <v>0</v>
      </c>
      <c r="K7" s="301" t="s">
        <v>492</v>
      </c>
      <c r="L7" s="24">
        <f>Lähtötiedot!Q16*N14</f>
        <v>0</v>
      </c>
      <c r="M7" s="304"/>
      <c r="N7" s="302"/>
      <c r="O7" s="269">
        <f>IF(P$3="Tarkista",0,L7/P$3)</f>
        <v>0</v>
      </c>
      <c r="P7" s="184" t="s">
        <v>489</v>
      </c>
      <c r="Q7" s="220">
        <f>O7</f>
        <v>0</v>
      </c>
      <c r="S7" s="682" t="s">
        <v>664</v>
      </c>
      <c r="T7" s="672"/>
      <c r="U7" s="683"/>
      <c r="V7" s="39"/>
      <c r="W7" s="39"/>
      <c r="X7" s="39"/>
      <c r="Y7" s="39"/>
      <c r="Z7" s="39"/>
      <c r="AA7" s="39"/>
    </row>
    <row r="8" spans="1:59" ht="15.75" customHeight="1" thickBot="1" x14ac:dyDescent="0.4">
      <c r="B8" s="9">
        <v>4</v>
      </c>
      <c r="C8" s="874" t="s">
        <v>771</v>
      </c>
      <c r="D8" s="875"/>
      <c r="E8" s="215">
        <f>'Rehun käyttö, nettosato'!E8</f>
        <v>0</v>
      </c>
      <c r="F8" s="36">
        <f>'Rehun käyttö, nettosato'!F8</f>
        <v>1</v>
      </c>
      <c r="G8" s="36">
        <f t="shared" si="0"/>
        <v>0</v>
      </c>
      <c r="H8" s="53">
        <f>IF(E8=0,0,Energiantarve!O29/(Energiantarve!I26/365))</f>
        <v>0</v>
      </c>
      <c r="I8" s="53">
        <f>Energiantarve!P29</f>
        <v>0</v>
      </c>
      <c r="K8" s="301" t="s">
        <v>488</v>
      </c>
      <c r="L8" s="24">
        <f>(Lähtötiedot!P9+Lähtötiedot!P12)*N14</f>
        <v>842.64236051211697</v>
      </c>
      <c r="M8" s="305"/>
      <c r="N8" s="303"/>
      <c r="O8" s="269">
        <f>IF(P$3="Tarkista",0,L8/P$3)</f>
        <v>0</v>
      </c>
      <c r="P8" s="184" t="s">
        <v>465</v>
      </c>
      <c r="Q8" s="220">
        <f>O8</f>
        <v>0</v>
      </c>
      <c r="S8" s="682"/>
      <c r="T8" s="673">
        <f>V44/100</f>
        <v>0</v>
      </c>
      <c r="U8" s="684" t="s">
        <v>674</v>
      </c>
      <c r="V8" s="39"/>
      <c r="W8" s="39"/>
      <c r="X8" s="39"/>
      <c r="Y8" s="39"/>
      <c r="Z8" s="39"/>
      <c r="AA8" s="39"/>
    </row>
    <row r="9" spans="1:59" ht="15" thickBot="1" x14ac:dyDescent="0.4">
      <c r="B9" s="9">
        <v>5</v>
      </c>
      <c r="C9" s="874" t="s">
        <v>4</v>
      </c>
      <c r="D9" s="875"/>
      <c r="E9" s="215">
        <f>'Rehun käyttö, nettosato'!E9</f>
        <v>8</v>
      </c>
      <c r="F9" s="36">
        <f>'Rehun käyttö, nettosato'!F9</f>
        <v>244</v>
      </c>
      <c r="G9" s="36">
        <f t="shared" si="0"/>
        <v>1952</v>
      </c>
      <c r="H9" s="53">
        <f>IF(E9=0,0,Energiantarve!O35/(Energiantarve!K32/365))</f>
        <v>34461.840000000004</v>
      </c>
      <c r="I9" s="53">
        <f>Energiantarve!P35</f>
        <v>498516.48000000004</v>
      </c>
      <c r="K9" s="77" t="s">
        <v>81</v>
      </c>
      <c r="L9" s="39"/>
      <c r="M9" s="37"/>
      <c r="N9" s="39"/>
      <c r="O9" s="271">
        <f>SUM(O5:O8)</f>
        <v>0</v>
      </c>
      <c r="P9" s="257"/>
      <c r="Q9" s="257"/>
      <c r="S9" s="685" t="s">
        <v>682</v>
      </c>
      <c r="T9" s="674"/>
      <c r="U9" s="686"/>
      <c r="V9" s="39"/>
      <c r="W9" s="39"/>
      <c r="X9" s="39"/>
      <c r="Y9" s="39"/>
      <c r="Z9" s="39"/>
      <c r="AA9" s="39"/>
      <c r="AK9" s="56"/>
      <c r="AL9" s="39"/>
      <c r="AN9" s="39"/>
    </row>
    <row r="10" spans="1:59" ht="15" thickBot="1" x14ac:dyDescent="0.4">
      <c r="B10" s="9">
        <v>6</v>
      </c>
      <c r="C10" s="874" t="s">
        <v>5</v>
      </c>
      <c r="D10" s="875"/>
      <c r="E10" s="215">
        <f>'Rehun käyttö, nettosato'!E10</f>
        <v>6</v>
      </c>
      <c r="F10" s="36">
        <f>'Rehun käyttö, nettosato'!F10</f>
        <v>184</v>
      </c>
      <c r="G10" s="36">
        <f t="shared" si="0"/>
        <v>1104</v>
      </c>
      <c r="H10" s="53">
        <f>IF(E10=0,0,Energiantarve!O41/(Energiantarve!K38/365))</f>
        <v>21343.958999999995</v>
      </c>
      <c r="I10" s="728">
        <f>Energiantarve!P41</f>
        <v>263144.69999999995</v>
      </c>
      <c r="K10" s="77"/>
      <c r="L10" s="39"/>
      <c r="M10" s="39"/>
      <c r="N10" s="39"/>
      <c r="O10" s="390"/>
      <c r="P10" s="257"/>
      <c r="Q10" s="257"/>
      <c r="S10" s="687"/>
      <c r="T10" s="688">
        <f>IF(M5=0,0,L8/M5)</f>
        <v>0.27573375671208017</v>
      </c>
      <c r="U10" s="689" t="s">
        <v>674</v>
      </c>
      <c r="V10" s="39"/>
      <c r="W10" s="39"/>
      <c r="X10" s="39"/>
      <c r="Y10" s="39"/>
      <c r="Z10" s="39"/>
      <c r="AA10" s="39"/>
      <c r="AK10" s="56"/>
      <c r="AL10" s="39"/>
      <c r="AN10" s="39"/>
    </row>
    <row r="11" spans="1:59" ht="19.5" thickTop="1" thickBot="1" x14ac:dyDescent="0.5">
      <c r="B11" s="9">
        <v>7</v>
      </c>
      <c r="C11" s="874" t="s">
        <v>403</v>
      </c>
      <c r="D11" s="875"/>
      <c r="E11" s="215">
        <f>'Rehun käyttö, nettosato'!E11</f>
        <v>0</v>
      </c>
      <c r="F11" s="39"/>
      <c r="G11" s="39"/>
      <c r="H11" s="53">
        <f>IF(E11=0,0,Energiantarve!O47)</f>
        <v>0</v>
      </c>
      <c r="I11" s="728">
        <f>Energiantarve!P47</f>
        <v>0</v>
      </c>
      <c r="K11" s="575" t="s">
        <v>34</v>
      </c>
      <c r="L11" s="576"/>
      <c r="M11" s="576"/>
      <c r="N11" s="576"/>
      <c r="O11" s="577"/>
      <c r="P11" s="578"/>
      <c r="Q11" s="579"/>
      <c r="S11" s="569" t="s">
        <v>515</v>
      </c>
      <c r="T11" s="582"/>
      <c r="U11" s="582"/>
      <c r="V11" s="583"/>
      <c r="W11" s="582"/>
      <c r="X11" s="582"/>
      <c r="Y11" s="584"/>
      <c r="Z11" s="569"/>
      <c r="AA11" s="582"/>
      <c r="AK11" s="569" t="s">
        <v>685</v>
      </c>
      <c r="AL11" s="569"/>
      <c r="AN11" s="569" t="s">
        <v>244</v>
      </c>
    </row>
    <row r="12" spans="1:59" ht="16" thickBot="1" x14ac:dyDescent="0.4">
      <c r="B12" s="39"/>
      <c r="C12" s="39"/>
      <c r="D12" s="39"/>
      <c r="E12" s="39"/>
      <c r="F12" s="39"/>
      <c r="G12" s="39"/>
      <c r="H12" s="39"/>
      <c r="I12" s="729">
        <f>SUM(I5:I11)</f>
        <v>2106608.0326498584</v>
      </c>
      <c r="K12" s="51" t="s">
        <v>35</v>
      </c>
      <c r="L12" s="19"/>
      <c r="M12" s="21"/>
      <c r="N12" s="19"/>
      <c r="O12" s="273"/>
      <c r="P12" s="295"/>
      <c r="Q12" s="19"/>
      <c r="S12" s="39"/>
      <c r="T12" s="39"/>
      <c r="U12" s="39"/>
      <c r="V12" s="39" t="s">
        <v>40</v>
      </c>
      <c r="W12" s="39"/>
      <c r="X12" s="57" t="s">
        <v>41</v>
      </c>
      <c r="Y12" s="57"/>
      <c r="Z12" s="58" t="s">
        <v>42</v>
      </c>
      <c r="AA12" s="58"/>
      <c r="AL12" s="97"/>
      <c r="AN12" s="245"/>
    </row>
    <row r="13" spans="1:59" ht="22" x14ac:dyDescent="0.35">
      <c r="B13" s="39"/>
      <c r="C13" s="39"/>
      <c r="D13" s="39"/>
      <c r="E13" s="39"/>
      <c r="F13" s="39"/>
      <c r="G13" s="39"/>
      <c r="H13" s="39"/>
      <c r="I13" s="730"/>
      <c r="K13" s="44" t="s">
        <v>36</v>
      </c>
      <c r="L13" s="316" t="s">
        <v>37</v>
      </c>
      <c r="M13" s="122" t="s">
        <v>25</v>
      </c>
      <c r="N13" s="316" t="s">
        <v>38</v>
      </c>
      <c r="O13" s="402" t="s">
        <v>484</v>
      </c>
      <c r="P13" s="296" t="s">
        <v>505</v>
      </c>
      <c r="Q13" s="19"/>
      <c r="S13" s="39"/>
      <c r="T13" s="39"/>
      <c r="U13" s="39"/>
      <c r="V13" s="663" t="s">
        <v>505</v>
      </c>
      <c r="W13" s="50" t="s">
        <v>43</v>
      </c>
      <c r="X13" s="59" t="s">
        <v>505</v>
      </c>
      <c r="Y13" s="59" t="s">
        <v>43</v>
      </c>
      <c r="Z13" s="60" t="s">
        <v>505</v>
      </c>
      <c r="AA13" s="60" t="s">
        <v>43</v>
      </c>
      <c r="AF13" s="566">
        <v>0.2</v>
      </c>
      <c r="AG13" s="567">
        <f>1+AF13</f>
        <v>1.2</v>
      </c>
      <c r="AH13" s="567">
        <f>1-AF13</f>
        <v>0.8</v>
      </c>
      <c r="AI13" s="567">
        <v>0.3</v>
      </c>
      <c r="AK13" s="46" t="str">
        <f>V13</f>
        <v>snt/liha-kg</v>
      </c>
      <c r="AN13" s="245"/>
    </row>
    <row r="14" spans="1:59" ht="20" customHeight="1" x14ac:dyDescent="0.45">
      <c r="B14" s="726" t="s">
        <v>460</v>
      </c>
      <c r="C14" s="574"/>
      <c r="D14" s="574"/>
      <c r="E14" s="574"/>
      <c r="F14" s="574"/>
      <c r="G14" s="574"/>
      <c r="H14" s="574"/>
      <c r="I14" s="574"/>
      <c r="K14" s="14" t="s">
        <v>476</v>
      </c>
      <c r="L14" s="36">
        <f>G17</f>
        <v>164000</v>
      </c>
      <c r="M14" s="293">
        <f>'Rehujen tuotantokustannukset'!J5</f>
        <v>0.12014544186297008</v>
      </c>
      <c r="N14" s="23">
        <f>IF(Lähtötiedot!L13=0,0,SUM(Lähtötiedot!Q20:Q22)*SUM(Lähtötiedot!L10:L12)/Lähtötiedot!L13)</f>
        <v>6.6876377818421984E-2</v>
      </c>
      <c r="O14" s="269">
        <f>IF(P$3="Tarkista",0,L14*M14*N14/P$3)</f>
        <v>0</v>
      </c>
      <c r="P14" s="387">
        <f>'Säilörehun tuotantokustannus'!N5</f>
        <v>0.12</v>
      </c>
      <c r="Q14" s="387">
        <f>IF(P$3="Tarkista",0,ROUNDUP((L14*P14*N14/P$3)*(1-Q43)/100,3))</f>
        <v>0</v>
      </c>
      <c r="S14" s="61" t="s">
        <v>35</v>
      </c>
      <c r="T14" s="39"/>
      <c r="U14" s="39"/>
      <c r="V14" s="527">
        <f>SUM(V15:V28)</f>
        <v>0</v>
      </c>
      <c r="W14" s="63">
        <f>IF(V$42=0,0,V14/V$42)</f>
        <v>0</v>
      </c>
      <c r="X14" s="530">
        <f>SUM(X15:X28)</f>
        <v>0</v>
      </c>
      <c r="Y14" s="65">
        <f>IF(X$42=0,0,X14/X$42)</f>
        <v>0</v>
      </c>
      <c r="Z14" s="531">
        <f>SUM(Z15:Z28)</f>
        <v>0</v>
      </c>
      <c r="AA14" s="67">
        <f>IF(Z$42=0,0,Z14/Z$42)</f>
        <v>0</v>
      </c>
      <c r="AC14" s="561">
        <f>V14</f>
        <v>0</v>
      </c>
      <c r="AD14" s="561">
        <f>X14</f>
        <v>0</v>
      </c>
      <c r="AE14" s="561">
        <f>AC14-AD14</f>
        <v>0</v>
      </c>
      <c r="AF14" s="562" t="e">
        <f>AD14/AC14</f>
        <v>#DIV/0!</v>
      </c>
      <c r="AG14" s="564" t="e">
        <f>IF(AF14&lt;AG$13,"_","ovat pienemmät kuin vertailulaskelmassa")</f>
        <v>#DIV/0!</v>
      </c>
      <c r="AH14" s="564" t="e">
        <f>IF(AF14&gt;AH$13,"_","ovat suuremmat kuin vertailulaskelmassa")</f>
        <v>#DIV/0!</v>
      </c>
      <c r="AI14" s="564">
        <f>IF(V14&lt;AI$13,1,0)</f>
        <v>1</v>
      </c>
      <c r="AK14" s="45" t="str">
        <f>S14</f>
        <v>Muuttuvat kustannukset</v>
      </c>
      <c r="AL14" s="44" t="str">
        <f>IF(AI14=0,IF(AF14&lt;1,AH14,AG14),"_")</f>
        <v>_</v>
      </c>
      <c r="AN14" s="245"/>
    </row>
    <row r="15" spans="1:59" ht="15" customHeight="1" thickBot="1" x14ac:dyDescent="0.4">
      <c r="B15" s="39"/>
      <c r="C15" s="39"/>
      <c r="D15" s="39"/>
      <c r="E15" s="50" t="s">
        <v>6</v>
      </c>
      <c r="F15" s="731" t="s">
        <v>237</v>
      </c>
      <c r="G15" s="732" t="s">
        <v>1</v>
      </c>
      <c r="H15" s="732" t="s">
        <v>407</v>
      </c>
      <c r="I15" s="732" t="s">
        <v>7</v>
      </c>
      <c r="K15" s="14" t="s">
        <v>477</v>
      </c>
      <c r="L15" s="36">
        <f>G18</f>
        <v>0</v>
      </c>
      <c r="M15" s="293">
        <f>'Rehujen tuotantokustannukset'!J6</f>
        <v>0</v>
      </c>
      <c r="N15" s="23">
        <f>N$14</f>
        <v>6.6876377818421984E-2</v>
      </c>
      <c r="O15" s="269">
        <f>IF(P$3="Tarkista",0,L15*M15*N15/P$3)</f>
        <v>0</v>
      </c>
      <c r="P15" s="297"/>
      <c r="Q15" s="19"/>
      <c r="S15" s="39"/>
      <c r="T15" s="68" t="str">
        <f>K14</f>
        <v xml:space="preserve">   Säilörehu</v>
      </c>
      <c r="U15" s="39"/>
      <c r="V15" s="382">
        <f>IF(P$3="Tarkista",0,O14*(1-Q43)/(M$5/P$3)*100)</f>
        <v>0</v>
      </c>
      <c r="W15" s="536">
        <f>IF(V$42=0,0,V15/V$42)</f>
        <v>0</v>
      </c>
      <c r="X15" s="388">
        <f>Tuotantokustannusvertailu!N100</f>
        <v>0</v>
      </c>
      <c r="Y15" s="538">
        <f>IF(X$42=0,0,X15/X$42)</f>
        <v>0</v>
      </c>
      <c r="Z15" s="389">
        <f>Tuotantokustannusvertailu!AC100</f>
        <v>0</v>
      </c>
      <c r="AA15" s="540">
        <f>IF(Z$42=0,0,Z15/Z$42)</f>
        <v>0</v>
      </c>
      <c r="AC15" s="561">
        <f t="shared" ref="AC15:AC42" si="1">V15</f>
        <v>0</v>
      </c>
      <c r="AD15" s="561">
        <f t="shared" ref="AD15:AD42" si="2">X15</f>
        <v>0</v>
      </c>
      <c r="AE15" s="561">
        <f t="shared" ref="AE15:AE42" si="3">AC15-AD15</f>
        <v>0</v>
      </c>
      <c r="AF15" s="562" t="e">
        <f>AD15/AC15</f>
        <v>#DIV/0!</v>
      </c>
      <c r="AG15" s="564" t="e">
        <f>IF(AF15&lt;AG$13,"_","on pienempi kuin vertailulaskelmissa")</f>
        <v>#DIV/0!</v>
      </c>
      <c r="AH15" s="564" t="e">
        <f>IF(AF15&gt;AH$13,"_","on suurempi kuin vertailulaskelmissa")</f>
        <v>#DIV/0!</v>
      </c>
      <c r="AI15" s="564">
        <f t="shared" ref="AI15:AI42" si="4">IF(V15&lt;AI$13,1,0)</f>
        <v>1</v>
      </c>
      <c r="AK15" s="45" t="str">
        <f>T15</f>
        <v xml:space="preserve">   Säilörehu</v>
      </c>
      <c r="AL15" s="44" t="str">
        <f t="shared" ref="AL15:AL42" si="5">IF(AI15=0,IF(AF15&lt;1,AH15,AG15),"_")</f>
        <v>_</v>
      </c>
      <c r="AN15" s="245"/>
    </row>
    <row r="16" spans="1:59" ht="15" customHeight="1" thickTop="1" x14ac:dyDescent="0.35">
      <c r="B16" s="77" t="s">
        <v>356</v>
      </c>
      <c r="C16" s="39"/>
      <c r="D16" s="39"/>
      <c r="E16" s="733">
        <f>SUM(E17:E21)</f>
        <v>29</v>
      </c>
      <c r="F16" s="734" t="s">
        <v>352</v>
      </c>
      <c r="G16" s="734" t="s">
        <v>44</v>
      </c>
      <c r="H16" s="734" t="s">
        <v>353</v>
      </c>
      <c r="I16" s="734" t="s">
        <v>8</v>
      </c>
      <c r="K16" s="14" t="s">
        <v>478</v>
      </c>
      <c r="L16" s="36">
        <f>G19</f>
        <v>0</v>
      </c>
      <c r="M16" s="293">
        <f>'Rehujen tuotantokustannukset'!J7</f>
        <v>0</v>
      </c>
      <c r="N16" s="23">
        <f>N$14</f>
        <v>6.6876377818421984E-2</v>
      </c>
      <c r="O16" s="269">
        <f>IF(P$3="Tarkista",0,L16*M16*N16/P$3)</f>
        <v>0</v>
      </c>
      <c r="P16" s="297"/>
      <c r="Q16" s="19"/>
      <c r="S16" s="39"/>
      <c r="T16" s="68" t="str">
        <f>K15</f>
        <v xml:space="preserve">   Rehuvilja</v>
      </c>
      <c r="U16" s="39"/>
      <c r="V16" s="382">
        <f>IF(P$3="Tarkista",0,O15*(1-Q44)/(M$5/P$3)*100)</f>
        <v>0</v>
      </c>
      <c r="W16" s="536">
        <f t="shared" ref="W16:W28" si="6">IF(V$42=0,0,V16/V$42)</f>
        <v>0</v>
      </c>
      <c r="X16" s="388">
        <f>Tuotantokustannusvertailu!N101</f>
        <v>0</v>
      </c>
      <c r="Y16" s="538">
        <f t="shared" ref="Y16:Y28" si="7">IF(X$42=0,0,X16/X$42)</f>
        <v>0</v>
      </c>
      <c r="Z16" s="389">
        <f>Tuotantokustannusvertailu!AC101</f>
        <v>0</v>
      </c>
      <c r="AA16" s="540">
        <f t="shared" ref="AA16:AA28" si="8">IF(Z$42=0,0,Z16/Z$42)</f>
        <v>0</v>
      </c>
      <c r="AC16" s="561">
        <f t="shared" si="1"/>
        <v>0</v>
      </c>
      <c r="AD16" s="561">
        <f t="shared" si="2"/>
        <v>0</v>
      </c>
      <c r="AE16" s="561">
        <f t="shared" si="3"/>
        <v>0</v>
      </c>
      <c r="AF16" s="562" t="e">
        <f>AD16/AC16</f>
        <v>#DIV/0!</v>
      </c>
      <c r="AG16" s="564" t="e">
        <f t="shared" ref="AG16:AG24" si="9">IF(AF16&lt;AG$13,"_","on pienempi kuin vertailulaskelmissa")</f>
        <v>#DIV/0!</v>
      </c>
      <c r="AH16" s="564" t="e">
        <f t="shared" ref="AH16:AH24" si="10">IF(AF16&gt;AH$13,"_","on suurempi kuin vertailulaskelmissa")</f>
        <v>#DIV/0!</v>
      </c>
      <c r="AI16" s="564">
        <f t="shared" si="4"/>
        <v>1</v>
      </c>
      <c r="AK16" s="45" t="str">
        <f t="shared" ref="AK16:AK28" si="11">T16</f>
        <v xml:space="preserve">   Rehuvilja</v>
      </c>
      <c r="AL16" s="44" t="str">
        <f t="shared" si="5"/>
        <v>_</v>
      </c>
      <c r="AN16" s="245"/>
    </row>
    <row r="17" spans="2:40" x14ac:dyDescent="0.35">
      <c r="B17" s="243" t="s">
        <v>421</v>
      </c>
      <c r="C17" s="735" t="s">
        <v>9</v>
      </c>
      <c r="D17" s="736"/>
      <c r="E17" s="737">
        <f>'Rehun käyttö, nettosato'!E17</f>
        <v>20</v>
      </c>
      <c r="F17" s="738">
        <f>'Rehun käyttö, nettosato'!M15</f>
        <v>8200</v>
      </c>
      <c r="G17" s="739">
        <f>E17*F17</f>
        <v>164000</v>
      </c>
      <c r="H17" s="739">
        <f>F17*Rehuntuotanto!J7</f>
        <v>91282.061855670094</v>
      </c>
      <c r="I17" s="740">
        <f>H17*E17</f>
        <v>1825641.2371134018</v>
      </c>
      <c r="K17" s="14" t="s">
        <v>479</v>
      </c>
      <c r="L17" s="36">
        <f>G20</f>
        <v>10000</v>
      </c>
      <c r="M17" s="293">
        <f>'Rehujen tuotantokustannukset'!J8</f>
        <v>0.49259631163817735</v>
      </c>
      <c r="N17" s="23">
        <f>N$14</f>
        <v>6.6876377818421984E-2</v>
      </c>
      <c r="O17" s="269">
        <f>IF(P$3="Tarkista",0,L17*M17*N17/P$3)</f>
        <v>0</v>
      </c>
      <c r="P17" s="297"/>
      <c r="Q17" s="19"/>
      <c r="S17" s="39"/>
      <c r="T17" s="68" t="str">
        <f>K16</f>
        <v xml:space="preserve">   Kokoviljasäilörehu</v>
      </c>
      <c r="U17" s="39"/>
      <c r="V17" s="382">
        <f>IF(P$3="Tarkista",0,O16*(1-Q45)/(M$5/P$3)*100)</f>
        <v>0</v>
      </c>
      <c r="W17" s="536">
        <f t="shared" si="6"/>
        <v>0</v>
      </c>
      <c r="X17" s="388">
        <f>Tuotantokustannusvertailu!N102</f>
        <v>0</v>
      </c>
      <c r="Y17" s="538">
        <f t="shared" si="7"/>
        <v>0</v>
      </c>
      <c r="Z17" s="389">
        <f>Tuotantokustannusvertailu!AC102</f>
        <v>0</v>
      </c>
      <c r="AA17" s="540">
        <f t="shared" si="8"/>
        <v>0</v>
      </c>
      <c r="AC17" s="561"/>
      <c r="AD17" s="561"/>
      <c r="AE17" s="561"/>
      <c r="AF17" s="562"/>
      <c r="AG17" s="564" t="str">
        <f t="shared" si="9"/>
        <v>_</v>
      </c>
      <c r="AH17" s="564" t="str">
        <f t="shared" si="10"/>
        <v>on suurempi kuin vertailulaskelmissa</v>
      </c>
      <c r="AI17" s="564">
        <f t="shared" si="4"/>
        <v>1</v>
      </c>
      <c r="AK17" s="45" t="str">
        <f t="shared" si="11"/>
        <v xml:space="preserve">   Kokoviljasäilörehu</v>
      </c>
      <c r="AL17" s="44" t="str">
        <f t="shared" si="5"/>
        <v>_</v>
      </c>
      <c r="AN17" s="245"/>
    </row>
    <row r="18" spans="2:40" x14ac:dyDescent="0.35">
      <c r="B18" s="243" t="s">
        <v>422</v>
      </c>
      <c r="C18" s="735" t="s">
        <v>10</v>
      </c>
      <c r="D18" s="736"/>
      <c r="E18" s="737">
        <f>'Rehun käyttö, nettosato'!E18</f>
        <v>0</v>
      </c>
      <c r="F18" s="16">
        <f>Rehuntuotanto!I29</f>
        <v>0</v>
      </c>
      <c r="G18" s="36">
        <f>E18*F18</f>
        <v>0</v>
      </c>
      <c r="H18" s="36">
        <f>Rehuntuotanto!K29</f>
        <v>0</v>
      </c>
      <c r="I18" s="53">
        <f>H18*E18</f>
        <v>0</v>
      </c>
      <c r="K18" s="14" t="s">
        <v>480</v>
      </c>
      <c r="L18" s="36">
        <f>G21</f>
        <v>17200</v>
      </c>
      <c r="M18" s="293">
        <f>'Rehujen tuotantokustannukset'!J9</f>
        <v>0.22911456355264062</v>
      </c>
      <c r="N18" s="23">
        <f>N$14</f>
        <v>6.6876377818421984E-2</v>
      </c>
      <c r="O18" s="269">
        <f>IF(P$3="Tarkista",0,L18*M18*N18/P$3)</f>
        <v>0</v>
      </c>
      <c r="P18" s="297"/>
      <c r="Q18" s="19"/>
      <c r="S18" s="39"/>
      <c r="T18" s="68" t="str">
        <f>K17</f>
        <v xml:space="preserve">   Laidun</v>
      </c>
      <c r="U18" s="39"/>
      <c r="V18" s="382">
        <f>IF(P$3="Tarkista",0,O17*(1-Q46)/(M$5/P$3)*100)</f>
        <v>0</v>
      </c>
      <c r="W18" s="536">
        <f t="shared" si="6"/>
        <v>0</v>
      </c>
      <c r="X18" s="388">
        <f>Tuotantokustannusvertailu!N103</f>
        <v>0</v>
      </c>
      <c r="Y18" s="538">
        <f t="shared" si="7"/>
        <v>0</v>
      </c>
      <c r="Z18" s="389">
        <f>Tuotantokustannusvertailu!AC103</f>
        <v>0</v>
      </c>
      <c r="AA18" s="540">
        <f t="shared" si="8"/>
        <v>0</v>
      </c>
      <c r="AC18" s="561"/>
      <c r="AD18" s="561"/>
      <c r="AE18" s="561"/>
      <c r="AF18" s="562"/>
      <c r="AG18" s="564" t="str">
        <f t="shared" si="9"/>
        <v>_</v>
      </c>
      <c r="AH18" s="564" t="str">
        <f t="shared" si="10"/>
        <v>on suurempi kuin vertailulaskelmissa</v>
      </c>
      <c r="AI18" s="564">
        <f t="shared" si="4"/>
        <v>1</v>
      </c>
      <c r="AK18" s="45" t="str">
        <f t="shared" si="11"/>
        <v xml:space="preserve">   Laidun</v>
      </c>
      <c r="AL18" s="44" t="str">
        <f t="shared" si="5"/>
        <v>_</v>
      </c>
      <c r="AN18" s="245"/>
    </row>
    <row r="19" spans="2:40" ht="15" customHeight="1" x14ac:dyDescent="0.35">
      <c r="B19" s="243" t="s">
        <v>423</v>
      </c>
      <c r="C19" s="735" t="s">
        <v>48</v>
      </c>
      <c r="D19" s="736"/>
      <c r="E19" s="737">
        <f>'Rehun käyttö, nettosato'!E19</f>
        <v>0</v>
      </c>
      <c r="F19" s="16">
        <f>Rehuntuotanto!I36</f>
        <v>0</v>
      </c>
      <c r="G19" s="36">
        <f>E19*F19</f>
        <v>0</v>
      </c>
      <c r="H19" s="36">
        <f>Rehuntuotanto!K36</f>
        <v>0</v>
      </c>
      <c r="I19" s="53">
        <f>H19*E19</f>
        <v>0</v>
      </c>
      <c r="K19" s="39"/>
      <c r="L19" s="39"/>
      <c r="M19" s="663" t="s">
        <v>75</v>
      </c>
      <c r="N19" s="316" t="s">
        <v>38</v>
      </c>
      <c r="O19" s="402" t="s">
        <v>484</v>
      </c>
      <c r="P19" s="297"/>
      <c r="Q19" s="19"/>
      <c r="S19" s="39"/>
      <c r="T19" s="68" t="str">
        <f>K18</f>
        <v xml:space="preserve">   Muut korsirehut</v>
      </c>
      <c r="U19" s="39"/>
      <c r="V19" s="382">
        <f>IF(P$3="Tarkista",0,O18*(1-Q47)/(M$5/P$3)*100)</f>
        <v>0</v>
      </c>
      <c r="W19" s="536">
        <f t="shared" si="6"/>
        <v>0</v>
      </c>
      <c r="X19" s="388">
        <f>Tuotantokustannusvertailu!N104</f>
        <v>0</v>
      </c>
      <c r="Y19" s="538">
        <f t="shared" si="7"/>
        <v>0</v>
      </c>
      <c r="Z19" s="389">
        <f>Tuotantokustannusvertailu!AC104</f>
        <v>0</v>
      </c>
      <c r="AA19" s="540">
        <f t="shared" si="8"/>
        <v>0</v>
      </c>
      <c r="AC19" s="561"/>
      <c r="AD19" s="561"/>
      <c r="AE19" s="561"/>
      <c r="AF19" s="562"/>
      <c r="AG19" s="564" t="str">
        <f t="shared" si="9"/>
        <v>_</v>
      </c>
      <c r="AH19" s="564" t="str">
        <f t="shared" si="10"/>
        <v>on suurempi kuin vertailulaskelmissa</v>
      </c>
      <c r="AI19" s="564">
        <f t="shared" si="4"/>
        <v>1</v>
      </c>
      <c r="AK19" s="45" t="str">
        <f t="shared" si="11"/>
        <v xml:space="preserve">   Muut korsirehut</v>
      </c>
      <c r="AL19" s="44" t="str">
        <f t="shared" si="5"/>
        <v>_</v>
      </c>
      <c r="AN19" s="245"/>
    </row>
    <row r="20" spans="2:40" x14ac:dyDescent="0.35">
      <c r="B20" s="243" t="s">
        <v>424</v>
      </c>
      <c r="C20" s="735" t="s">
        <v>46</v>
      </c>
      <c r="D20" s="736"/>
      <c r="E20" s="737">
        <f>'Rehun käyttö, nettosato'!E20</f>
        <v>5</v>
      </c>
      <c r="F20" s="16">
        <f>Rehuntuotanto!I43</f>
        <v>2000</v>
      </c>
      <c r="G20" s="36">
        <f>E20*F20</f>
        <v>10000</v>
      </c>
      <c r="H20" s="36">
        <f>Rehuntuotanto!K43</f>
        <v>22000</v>
      </c>
      <c r="I20" s="53">
        <f>H20*E20</f>
        <v>110000</v>
      </c>
      <c r="K20" s="666" t="s">
        <v>47</v>
      </c>
      <c r="L20" s="667"/>
      <c r="M20" s="36">
        <f>Lähtötiedot!C19</f>
        <v>2000</v>
      </c>
      <c r="N20" s="23">
        <f t="shared" ref="N20:N26" si="12">N$14</f>
        <v>6.6876377818421984E-2</v>
      </c>
      <c r="O20" s="269">
        <f t="shared" ref="O20:O26" si="13">IF(P$3="Tarkista",0,M20*N20/P$3)</f>
        <v>0</v>
      </c>
      <c r="P20" s="297"/>
      <c r="Q20" s="19"/>
      <c r="S20" s="39"/>
      <c r="T20" s="68" t="str">
        <f t="shared" ref="T20:T28" si="14">K20</f>
        <v>Ostorehut</v>
      </c>
      <c r="U20" s="39"/>
      <c r="V20" s="382">
        <f>IF(P$3="Tarkista",0,O20*(1-Q43)/(M$5/P$3)*100)</f>
        <v>0</v>
      </c>
      <c r="W20" s="536">
        <f t="shared" si="6"/>
        <v>0</v>
      </c>
      <c r="X20" s="388">
        <f>Tuotantokustannusvertailu!N105</f>
        <v>0</v>
      </c>
      <c r="Y20" s="538">
        <f t="shared" si="7"/>
        <v>0</v>
      </c>
      <c r="Z20" s="389">
        <f>Tuotantokustannusvertailu!AC105</f>
        <v>0</v>
      </c>
      <c r="AA20" s="540">
        <f t="shared" si="8"/>
        <v>0</v>
      </c>
      <c r="AC20" s="561">
        <f t="shared" si="1"/>
        <v>0</v>
      </c>
      <c r="AD20" s="561">
        <f t="shared" si="2"/>
        <v>0</v>
      </c>
      <c r="AE20" s="561">
        <f t="shared" si="3"/>
        <v>0</v>
      </c>
      <c r="AF20" s="562" t="e">
        <f t="shared" ref="AF20:AF28" si="15">AD20/AC20</f>
        <v>#DIV/0!</v>
      </c>
      <c r="AG20" s="564" t="e">
        <f t="shared" si="9"/>
        <v>#DIV/0!</v>
      </c>
      <c r="AH20" s="564" t="e">
        <f t="shared" si="10"/>
        <v>#DIV/0!</v>
      </c>
      <c r="AI20" s="564">
        <f t="shared" si="4"/>
        <v>1</v>
      </c>
      <c r="AK20" s="45" t="str">
        <f t="shared" si="11"/>
        <v>Ostorehut</v>
      </c>
      <c r="AL20" s="44" t="str">
        <f t="shared" si="5"/>
        <v>_</v>
      </c>
      <c r="AN20" s="245"/>
    </row>
    <row r="21" spans="2:40" ht="15" thickBot="1" x14ac:dyDescent="0.4">
      <c r="B21" s="243" t="s">
        <v>425</v>
      </c>
      <c r="C21" s="735" t="s">
        <v>348</v>
      </c>
      <c r="D21" s="736"/>
      <c r="E21" s="741">
        <f>'Rehun käyttö, nettosato'!E21</f>
        <v>4</v>
      </c>
      <c r="F21" s="16">
        <f>Rehuntuotanto!I50</f>
        <v>4300</v>
      </c>
      <c r="G21" s="36">
        <f>E21*F21</f>
        <v>17200</v>
      </c>
      <c r="H21" s="36">
        <f>Rehuntuotanto!K50</f>
        <v>45150</v>
      </c>
      <c r="I21" s="53">
        <f>H21*E21</f>
        <v>180600</v>
      </c>
      <c r="K21" s="877" t="s">
        <v>72</v>
      </c>
      <c r="L21" s="878"/>
      <c r="M21" s="36">
        <f>Lähtötiedot!C20</f>
        <v>600</v>
      </c>
      <c r="N21" s="23">
        <f t="shared" si="12"/>
        <v>6.6876377818421984E-2</v>
      </c>
      <c r="O21" s="269">
        <f t="shared" si="13"/>
        <v>0</v>
      </c>
      <c r="P21" s="297"/>
      <c r="Q21" s="19"/>
      <c r="S21" s="39"/>
      <c r="T21" s="68" t="str">
        <f t="shared" si="14"/>
        <v>Kivennäiset</v>
      </c>
      <c r="U21" s="39"/>
      <c r="V21" s="382">
        <f t="shared" ref="V21:V28" si="16">IF(P$3="Tarkista",0,O21*(1-Q44)/(M$5/P$3)*100)</f>
        <v>0</v>
      </c>
      <c r="W21" s="536">
        <f t="shared" si="6"/>
        <v>0</v>
      </c>
      <c r="X21" s="388">
        <f>Tuotantokustannusvertailu!N106</f>
        <v>0</v>
      </c>
      <c r="Y21" s="538">
        <f t="shared" si="7"/>
        <v>0</v>
      </c>
      <c r="Z21" s="389">
        <f>Tuotantokustannusvertailu!AC106</f>
        <v>0</v>
      </c>
      <c r="AA21" s="540">
        <f t="shared" si="8"/>
        <v>0</v>
      </c>
      <c r="AC21" s="561">
        <f t="shared" si="1"/>
        <v>0</v>
      </c>
      <c r="AD21" s="561">
        <f t="shared" si="2"/>
        <v>0</v>
      </c>
      <c r="AE21" s="561">
        <f t="shared" si="3"/>
        <v>0</v>
      </c>
      <c r="AF21" s="562" t="e">
        <f t="shared" si="15"/>
        <v>#DIV/0!</v>
      </c>
      <c r="AG21" s="564" t="e">
        <f t="shared" si="9"/>
        <v>#DIV/0!</v>
      </c>
      <c r="AH21" s="564" t="e">
        <f t="shared" si="10"/>
        <v>#DIV/0!</v>
      </c>
      <c r="AI21" s="564">
        <f t="shared" si="4"/>
        <v>1</v>
      </c>
      <c r="AK21" s="45" t="str">
        <f t="shared" si="11"/>
        <v>Kivennäiset</v>
      </c>
      <c r="AL21" s="44" t="str">
        <f t="shared" si="5"/>
        <v>_</v>
      </c>
      <c r="AN21" s="245"/>
    </row>
    <row r="22" spans="2:40" ht="15.5" thickTop="1" thickBot="1" x14ac:dyDescent="0.4">
      <c r="B22" s="39" t="s">
        <v>14</v>
      </c>
      <c r="C22" s="39"/>
      <c r="D22" s="39"/>
      <c r="E22" s="742">
        <f>'Rehun käyttö, nettosato'!E22</f>
        <v>0</v>
      </c>
      <c r="F22" s="39"/>
      <c r="G22" s="743"/>
      <c r="H22" s="39"/>
      <c r="I22" s="39"/>
      <c r="K22" s="877" t="s">
        <v>481</v>
      </c>
      <c r="L22" s="878"/>
      <c r="M22" s="36">
        <f>Lähtötiedot!C21</f>
        <v>1500</v>
      </c>
      <c r="N22" s="23">
        <f t="shared" si="12"/>
        <v>6.6876377818421984E-2</v>
      </c>
      <c r="O22" s="269">
        <f t="shared" si="13"/>
        <v>0</v>
      </c>
      <c r="P22" s="297"/>
      <c r="Q22" s="19"/>
      <c r="S22" s="39"/>
      <c r="T22" s="68" t="str">
        <f t="shared" si="14"/>
        <v>Lääkintä</v>
      </c>
      <c r="U22" s="39"/>
      <c r="V22" s="382">
        <f t="shared" si="16"/>
        <v>0</v>
      </c>
      <c r="W22" s="536">
        <f t="shared" si="6"/>
        <v>0</v>
      </c>
      <c r="X22" s="388">
        <f>Tuotantokustannusvertailu!N107</f>
        <v>0</v>
      </c>
      <c r="Y22" s="538">
        <f t="shared" si="7"/>
        <v>0</v>
      </c>
      <c r="Z22" s="389">
        <f>Tuotantokustannusvertailu!AC107</f>
        <v>0</v>
      </c>
      <c r="AA22" s="540">
        <f t="shared" si="8"/>
        <v>0</v>
      </c>
      <c r="AC22" s="561">
        <f t="shared" si="1"/>
        <v>0</v>
      </c>
      <c r="AD22" s="561">
        <f t="shared" si="2"/>
        <v>0</v>
      </c>
      <c r="AE22" s="561">
        <f t="shared" si="3"/>
        <v>0</v>
      </c>
      <c r="AF22" s="562" t="e">
        <f t="shared" si="15"/>
        <v>#DIV/0!</v>
      </c>
      <c r="AG22" s="564" t="e">
        <f t="shared" si="9"/>
        <v>#DIV/0!</v>
      </c>
      <c r="AH22" s="564" t="e">
        <f t="shared" si="10"/>
        <v>#DIV/0!</v>
      </c>
      <c r="AI22" s="564">
        <f t="shared" si="4"/>
        <v>1</v>
      </c>
      <c r="AK22" s="45" t="str">
        <f t="shared" si="11"/>
        <v>Lääkintä</v>
      </c>
      <c r="AL22" s="44" t="str">
        <f t="shared" si="5"/>
        <v>_</v>
      </c>
      <c r="AN22" s="245"/>
    </row>
    <row r="23" spans="2:40" ht="15" thickBot="1" x14ac:dyDescent="0.4">
      <c r="B23" s="39" t="s">
        <v>16</v>
      </c>
      <c r="C23" s="39"/>
      <c r="D23" s="39"/>
      <c r="E23" s="428">
        <f>E22+E16</f>
        <v>29</v>
      </c>
      <c r="F23" s="39"/>
      <c r="G23" s="39"/>
      <c r="H23" s="39"/>
      <c r="I23" s="39"/>
      <c r="K23" s="877" t="s">
        <v>482</v>
      </c>
      <c r="L23" s="878"/>
      <c r="M23" s="36">
        <f>Lähtötiedot!C22</f>
        <v>2500</v>
      </c>
      <c r="N23" s="23">
        <f t="shared" si="12"/>
        <v>6.6876377818421984E-2</v>
      </c>
      <c r="O23" s="269">
        <f t="shared" si="13"/>
        <v>0</v>
      </c>
      <c r="P23" s="297"/>
      <c r="Q23" s="19"/>
      <c r="S23" s="39"/>
      <c r="T23" s="68" t="str">
        <f t="shared" si="14"/>
        <v>Siemennys, jalostus ym.</v>
      </c>
      <c r="U23" s="39"/>
      <c r="V23" s="382">
        <f t="shared" si="16"/>
        <v>0</v>
      </c>
      <c r="W23" s="536">
        <f t="shared" si="6"/>
        <v>0</v>
      </c>
      <c r="X23" s="388">
        <f>Tuotantokustannusvertailu!N108</f>
        <v>0</v>
      </c>
      <c r="Y23" s="538">
        <f t="shared" si="7"/>
        <v>0</v>
      </c>
      <c r="Z23" s="389">
        <f>Tuotantokustannusvertailu!AC108</f>
        <v>0</v>
      </c>
      <c r="AA23" s="540">
        <f t="shared" si="8"/>
        <v>0</v>
      </c>
      <c r="AC23" s="561">
        <f t="shared" si="1"/>
        <v>0</v>
      </c>
      <c r="AD23" s="561">
        <f t="shared" si="2"/>
        <v>0</v>
      </c>
      <c r="AE23" s="561">
        <f t="shared" si="3"/>
        <v>0</v>
      </c>
      <c r="AF23" s="562" t="e">
        <f t="shared" si="15"/>
        <v>#DIV/0!</v>
      </c>
      <c r="AG23" s="564" t="e">
        <f t="shared" si="9"/>
        <v>#DIV/0!</v>
      </c>
      <c r="AH23" s="564" t="e">
        <f t="shared" si="10"/>
        <v>#DIV/0!</v>
      </c>
      <c r="AI23" s="564">
        <f t="shared" si="4"/>
        <v>1</v>
      </c>
      <c r="AK23" s="45" t="str">
        <f t="shared" si="11"/>
        <v>Siemennys, jalostus ym.</v>
      </c>
      <c r="AL23" s="44" t="str">
        <f t="shared" si="5"/>
        <v>_</v>
      </c>
      <c r="AN23" s="245"/>
    </row>
    <row r="24" spans="2:40" x14ac:dyDescent="0.35">
      <c r="B24" s="39"/>
      <c r="C24" s="39"/>
      <c r="D24" s="39"/>
      <c r="E24" s="39"/>
      <c r="F24" s="39"/>
      <c r="G24" s="39"/>
      <c r="H24" s="39"/>
      <c r="I24" s="39"/>
      <c r="K24" s="877" t="s">
        <v>49</v>
      </c>
      <c r="L24" s="878"/>
      <c r="M24" s="36">
        <f>Lähtötiedot!C23</f>
        <v>1500</v>
      </c>
      <c r="N24" s="23">
        <f t="shared" si="12"/>
        <v>6.6876377818421984E-2</v>
      </c>
      <c r="O24" s="269">
        <f t="shared" si="13"/>
        <v>0</v>
      </c>
      <c r="P24" s="297"/>
      <c r="Q24" s="19"/>
      <c r="S24" s="39"/>
      <c r="T24" s="68" t="str">
        <f t="shared" si="14"/>
        <v>Kuivikkeet</v>
      </c>
      <c r="U24" s="39"/>
      <c r="V24" s="382">
        <f t="shared" si="16"/>
        <v>0</v>
      </c>
      <c r="W24" s="536">
        <f t="shared" si="6"/>
        <v>0</v>
      </c>
      <c r="X24" s="388">
        <f>Tuotantokustannusvertailu!N109</f>
        <v>0</v>
      </c>
      <c r="Y24" s="538">
        <f t="shared" si="7"/>
        <v>0</v>
      </c>
      <c r="Z24" s="389">
        <f>Tuotantokustannusvertailu!AC109</f>
        <v>0</v>
      </c>
      <c r="AA24" s="540">
        <f t="shared" si="8"/>
        <v>0</v>
      </c>
      <c r="AC24" s="561">
        <f t="shared" si="1"/>
        <v>0</v>
      </c>
      <c r="AD24" s="561">
        <f t="shared" si="2"/>
        <v>0</v>
      </c>
      <c r="AE24" s="561">
        <f t="shared" si="3"/>
        <v>0</v>
      </c>
      <c r="AF24" s="562" t="e">
        <f t="shared" si="15"/>
        <v>#DIV/0!</v>
      </c>
      <c r="AG24" s="564" t="e">
        <f t="shared" si="9"/>
        <v>#DIV/0!</v>
      </c>
      <c r="AH24" s="564" t="e">
        <f t="shared" si="10"/>
        <v>#DIV/0!</v>
      </c>
      <c r="AI24" s="564">
        <f t="shared" si="4"/>
        <v>1</v>
      </c>
      <c r="AK24" s="45" t="str">
        <f t="shared" si="11"/>
        <v>Kuivikkeet</v>
      </c>
      <c r="AL24" s="44" t="str">
        <f t="shared" si="5"/>
        <v>_</v>
      </c>
      <c r="AN24" s="245"/>
    </row>
    <row r="25" spans="2:40" x14ac:dyDescent="0.35">
      <c r="B25" s="39"/>
      <c r="C25" s="39"/>
      <c r="D25" s="39"/>
      <c r="E25" s="39"/>
      <c r="F25" s="39"/>
      <c r="G25" s="39"/>
      <c r="H25" s="39"/>
      <c r="I25" s="39"/>
      <c r="K25" s="879" t="s">
        <v>50</v>
      </c>
      <c r="L25" s="875"/>
      <c r="M25" s="36">
        <f>Lähtötiedot!C24</f>
        <v>3500</v>
      </c>
      <c r="N25" s="23">
        <f t="shared" si="12"/>
        <v>6.6876377818421984E-2</v>
      </c>
      <c r="O25" s="269">
        <f t="shared" si="13"/>
        <v>0</v>
      </c>
      <c r="P25" s="297"/>
      <c r="Q25" s="19"/>
      <c r="S25" s="39"/>
      <c r="T25" s="282" t="str">
        <f t="shared" si="14"/>
        <v>Muut muuttuvat kustannukset</v>
      </c>
      <c r="U25" s="39"/>
      <c r="V25" s="382">
        <f t="shared" si="16"/>
        <v>0</v>
      </c>
      <c r="W25" s="536">
        <f t="shared" si="6"/>
        <v>0</v>
      </c>
      <c r="X25" s="388">
        <f>Tuotantokustannusvertailu!N110</f>
        <v>0</v>
      </c>
      <c r="Y25" s="538">
        <f t="shared" si="7"/>
        <v>0</v>
      </c>
      <c r="Z25" s="389">
        <f>Tuotantokustannusvertailu!AC110</f>
        <v>0</v>
      </c>
      <c r="AA25" s="540">
        <f t="shared" si="8"/>
        <v>0</v>
      </c>
      <c r="AC25" s="561">
        <f t="shared" si="1"/>
        <v>0</v>
      </c>
      <c r="AD25" s="561">
        <f t="shared" si="2"/>
        <v>0</v>
      </c>
      <c r="AE25" s="561">
        <f t="shared" si="3"/>
        <v>0</v>
      </c>
      <c r="AF25" s="562" t="e">
        <f t="shared" si="15"/>
        <v>#DIV/0!</v>
      </c>
      <c r="AG25" s="564" t="e">
        <f>IF(AF25&lt;AG$13,"_","ovat pienemmät kuin vertailulaskelmassa")</f>
        <v>#DIV/0!</v>
      </c>
      <c r="AH25" s="564" t="e">
        <f>IF(AF25&gt;AH$13,"_","ovat suuremmat kuin vertailulaskelmassa")</f>
        <v>#DIV/0!</v>
      </c>
      <c r="AI25" s="564">
        <f t="shared" si="4"/>
        <v>1</v>
      </c>
      <c r="AK25" s="45" t="str">
        <f t="shared" si="11"/>
        <v>Muut muuttuvat kustannukset</v>
      </c>
      <c r="AL25" s="44" t="str">
        <f t="shared" si="5"/>
        <v>_</v>
      </c>
      <c r="AN25" s="245"/>
    </row>
    <row r="26" spans="2:40" x14ac:dyDescent="0.35">
      <c r="B26" s="77" t="s">
        <v>47</v>
      </c>
      <c r="C26" s="39"/>
      <c r="D26" s="39"/>
      <c r="E26" s="50" t="s">
        <v>358</v>
      </c>
      <c r="F26" s="50" t="s">
        <v>20</v>
      </c>
      <c r="G26" s="50" t="s">
        <v>21</v>
      </c>
      <c r="H26" s="50" t="s">
        <v>44</v>
      </c>
      <c r="I26" s="75" t="s">
        <v>22</v>
      </c>
      <c r="K26" s="877" t="s">
        <v>51</v>
      </c>
      <c r="L26" s="878"/>
      <c r="M26" s="36">
        <f>Lähtötiedot!C25</f>
        <v>0</v>
      </c>
      <c r="N26" s="23">
        <f t="shared" si="12"/>
        <v>6.6876377818421984E-2</v>
      </c>
      <c r="O26" s="269">
        <f t="shared" si="13"/>
        <v>0</v>
      </c>
      <c r="P26" s="297"/>
      <c r="Q26" s="19"/>
      <c r="S26" s="39"/>
      <c r="T26" s="68" t="str">
        <f t="shared" si="14"/>
        <v>Eläinten ostot</v>
      </c>
      <c r="U26" s="39"/>
      <c r="V26" s="382">
        <f t="shared" si="16"/>
        <v>0</v>
      </c>
      <c r="W26" s="536">
        <f t="shared" si="6"/>
        <v>0</v>
      </c>
      <c r="X26" s="388">
        <f>Tuotantokustannusvertailu!N111</f>
        <v>0</v>
      </c>
      <c r="Y26" s="538">
        <f t="shared" si="7"/>
        <v>0</v>
      </c>
      <c r="Z26" s="389">
        <f>Tuotantokustannusvertailu!AC111</f>
        <v>0</v>
      </c>
      <c r="AA26" s="540">
        <f t="shared" si="8"/>
        <v>0</v>
      </c>
      <c r="AC26" s="561">
        <f t="shared" si="1"/>
        <v>0</v>
      </c>
      <c r="AD26" s="561">
        <f t="shared" si="2"/>
        <v>0</v>
      </c>
      <c r="AE26" s="561">
        <f t="shared" si="3"/>
        <v>0</v>
      </c>
      <c r="AF26" s="562" t="e">
        <f t="shared" si="15"/>
        <v>#DIV/0!</v>
      </c>
      <c r="AG26" s="564" t="e">
        <f>IF(AF26&lt;AG$13,"_","ovat pienemmät kuin vertailulaskelmassa")</f>
        <v>#DIV/0!</v>
      </c>
      <c r="AH26" s="564" t="e">
        <f>IF(AF26&gt;AH$13,"_","ovat suuremmat kuin vertailulaskelmassa")</f>
        <v>#DIV/0!</v>
      </c>
      <c r="AI26" s="564">
        <f t="shared" si="4"/>
        <v>1</v>
      </c>
      <c r="AK26" s="45" t="str">
        <f t="shared" si="11"/>
        <v>Eläinten ostot</v>
      </c>
      <c r="AL26" s="44" t="str">
        <f t="shared" si="5"/>
        <v>_</v>
      </c>
      <c r="AN26" s="245"/>
    </row>
    <row r="27" spans="2:40" x14ac:dyDescent="0.35">
      <c r="B27" s="77"/>
      <c r="C27" s="744" t="s">
        <v>357</v>
      </c>
      <c r="D27" s="77"/>
      <c r="E27" s="36">
        <f>'Rehun käyttö, nettosato'!E26</f>
        <v>0</v>
      </c>
      <c r="F27" s="36">
        <f>'Rehun käyttö, nettosato'!F26</f>
        <v>2000</v>
      </c>
      <c r="G27" s="745">
        <f>IF(E27=0,0,F27/E27)</f>
        <v>0</v>
      </c>
      <c r="H27" s="53">
        <f>'Rehun käyttö, nettosato'!H26</f>
        <v>0</v>
      </c>
      <c r="I27" s="53">
        <f>'Rehun käyttö, nettosato'!I26</f>
        <v>0</v>
      </c>
      <c r="K27" s="291" t="s">
        <v>52</v>
      </c>
      <c r="L27" s="36">
        <f>Q27+O26</f>
        <v>1400</v>
      </c>
      <c r="M27" s="36">
        <f>L27*Q39</f>
        <v>70</v>
      </c>
      <c r="N27" s="22">
        <v>1</v>
      </c>
      <c r="O27" s="269">
        <f>IF(P$3="Tarkista",0,M27)</f>
        <v>0</v>
      </c>
      <c r="P27" s="297"/>
      <c r="Q27" s="24">
        <v>1400</v>
      </c>
      <c r="S27" s="39"/>
      <c r="T27" s="68" t="str">
        <f t="shared" si="14"/>
        <v>Eläinpääoman korko</v>
      </c>
      <c r="U27" s="55"/>
      <c r="V27" s="382">
        <f t="shared" si="16"/>
        <v>0</v>
      </c>
      <c r="W27" s="536">
        <f t="shared" si="6"/>
        <v>0</v>
      </c>
      <c r="X27" s="388">
        <f>Tuotantokustannusvertailu!N112</f>
        <v>0</v>
      </c>
      <c r="Y27" s="538">
        <f t="shared" si="7"/>
        <v>0</v>
      </c>
      <c r="Z27" s="389">
        <f>Tuotantokustannusvertailu!AC112</f>
        <v>0</v>
      </c>
      <c r="AA27" s="540">
        <f t="shared" si="8"/>
        <v>0</v>
      </c>
      <c r="AC27" s="561">
        <f t="shared" si="1"/>
        <v>0</v>
      </c>
      <c r="AD27" s="561">
        <f t="shared" si="2"/>
        <v>0</v>
      </c>
      <c r="AE27" s="561">
        <f t="shared" si="3"/>
        <v>0</v>
      </c>
      <c r="AF27" s="562" t="e">
        <f t="shared" si="15"/>
        <v>#DIV/0!</v>
      </c>
      <c r="AG27" s="564" t="e">
        <f>IF(AF27&lt;AG$13,"_","on pienempi kuin vertailulaskelmissa")</f>
        <v>#DIV/0!</v>
      </c>
      <c r="AH27" s="564" t="e">
        <f>IF(AF27&gt;AH$13,"_","on suurempi kuin vertailulaskelmissa")</f>
        <v>#DIV/0!</v>
      </c>
      <c r="AI27" s="564">
        <f t="shared" si="4"/>
        <v>1</v>
      </c>
      <c r="AK27" s="45" t="str">
        <f t="shared" si="11"/>
        <v>Eläinpääoman korko</v>
      </c>
      <c r="AL27" s="44" t="str">
        <f t="shared" si="5"/>
        <v>_</v>
      </c>
      <c r="AN27" s="245"/>
    </row>
    <row r="28" spans="2:40" x14ac:dyDescent="0.35">
      <c r="B28" s="77"/>
      <c r="C28" s="744" t="s">
        <v>360</v>
      </c>
      <c r="D28" s="39"/>
      <c r="E28" s="36">
        <f>'Rehun käyttö, nettosato'!E27</f>
        <v>0</v>
      </c>
      <c r="F28" s="36">
        <f>'Rehun käyttö, nettosato'!F27</f>
        <v>0</v>
      </c>
      <c r="G28" s="745">
        <f>IF(E28=0,0,F28/E28)</f>
        <v>0</v>
      </c>
      <c r="H28" s="53">
        <f>'Rehun käyttö, nettosato'!H27</f>
        <v>0</v>
      </c>
      <c r="I28" s="53">
        <f>'Rehun käyttö, nettosato'!I27</f>
        <v>0</v>
      </c>
      <c r="K28" s="291" t="s">
        <v>53</v>
      </c>
      <c r="L28" s="36">
        <f>SUM(O12:O18,O21:O25,O31:O32)*Q28</f>
        <v>0</v>
      </c>
      <c r="M28" s="36">
        <f>L28*Q39</f>
        <v>0</v>
      </c>
      <c r="N28" s="22">
        <v>1</v>
      </c>
      <c r="O28" s="269">
        <f>IF(P$3="Tarkista",0,M28)</f>
        <v>0</v>
      </c>
      <c r="P28" s="297"/>
      <c r="Q28" s="23">
        <v>0.6</v>
      </c>
      <c r="S28" s="39"/>
      <c r="T28" s="68" t="str">
        <f t="shared" si="14"/>
        <v>Liikepääoman korko</v>
      </c>
      <c r="U28" s="73"/>
      <c r="V28" s="382">
        <f t="shared" si="16"/>
        <v>0</v>
      </c>
      <c r="W28" s="536">
        <f t="shared" si="6"/>
        <v>0</v>
      </c>
      <c r="X28" s="388">
        <f>Tuotantokustannusvertailu!N113</f>
        <v>0</v>
      </c>
      <c r="Y28" s="538">
        <f t="shared" si="7"/>
        <v>0</v>
      </c>
      <c r="Z28" s="389">
        <f>Tuotantokustannusvertailu!AC113</f>
        <v>0</v>
      </c>
      <c r="AA28" s="540">
        <f t="shared" si="8"/>
        <v>0</v>
      </c>
      <c r="AC28" s="561">
        <f t="shared" si="1"/>
        <v>0</v>
      </c>
      <c r="AD28" s="561">
        <f t="shared" si="2"/>
        <v>0</v>
      </c>
      <c r="AE28" s="561">
        <f t="shared" si="3"/>
        <v>0</v>
      </c>
      <c r="AF28" s="562" t="e">
        <f t="shared" si="15"/>
        <v>#DIV/0!</v>
      </c>
      <c r="AG28" s="564" t="e">
        <f>IF(AF28&lt;AG$13,"_","on pienempi kuin vertailulaskelmissa")</f>
        <v>#DIV/0!</v>
      </c>
      <c r="AH28" s="564" t="e">
        <f>IF(AF28&gt;AH$13,"_","on suurempi kuin vertailulaskelmissa")</f>
        <v>#DIV/0!</v>
      </c>
      <c r="AI28" s="564">
        <f t="shared" si="4"/>
        <v>1</v>
      </c>
      <c r="AK28" s="45" t="str">
        <f t="shared" si="11"/>
        <v>Liikepääoman korko</v>
      </c>
      <c r="AL28" s="44" t="str">
        <f t="shared" si="5"/>
        <v>_</v>
      </c>
      <c r="AN28" s="245"/>
    </row>
    <row r="29" spans="2:40" x14ac:dyDescent="0.35">
      <c r="B29" s="77"/>
      <c r="C29" s="744" t="s">
        <v>359</v>
      </c>
      <c r="D29" s="77"/>
      <c r="E29" s="36">
        <f>'Rehun käyttö, nettosato'!E28</f>
        <v>0</v>
      </c>
      <c r="F29" s="36">
        <f>'Rehun käyttö, nettosato'!F28</f>
        <v>600</v>
      </c>
      <c r="G29" s="745">
        <f>IF(E29=0,0,F29/E29)</f>
        <v>0</v>
      </c>
      <c r="H29" s="39"/>
      <c r="I29" s="730"/>
      <c r="K29" s="19"/>
      <c r="L29" s="19"/>
      <c r="M29" s="19"/>
      <c r="N29" s="19"/>
      <c r="O29" s="273"/>
      <c r="P29" s="297"/>
      <c r="Q29" s="19"/>
      <c r="S29" s="39"/>
      <c r="T29" s="39"/>
      <c r="U29" s="39"/>
      <c r="V29" s="382"/>
      <c r="W29" s="537"/>
      <c r="X29" s="388"/>
      <c r="Y29" s="539"/>
      <c r="Z29" s="389"/>
      <c r="AA29" s="541"/>
      <c r="AC29" s="561"/>
      <c r="AD29" s="561"/>
      <c r="AE29" s="561"/>
      <c r="AF29" s="562"/>
      <c r="AN29" s="245"/>
    </row>
    <row r="30" spans="2:40" ht="15.5" x14ac:dyDescent="0.35">
      <c r="B30" s="77"/>
      <c r="C30" s="77"/>
      <c r="D30" s="39"/>
      <c r="E30" s="39"/>
      <c r="F30" s="39"/>
      <c r="G30" s="623"/>
      <c r="H30" s="39"/>
      <c r="I30" s="730"/>
      <c r="K30" s="51" t="s">
        <v>54</v>
      </c>
      <c r="L30" s="74" t="s">
        <v>55</v>
      </c>
      <c r="M30" s="663" t="s">
        <v>20</v>
      </c>
      <c r="N30" s="316" t="s">
        <v>38</v>
      </c>
      <c r="O30" s="402" t="s">
        <v>484</v>
      </c>
      <c r="P30" s="34" t="s">
        <v>466</v>
      </c>
      <c r="Q30" s="34" t="s">
        <v>512</v>
      </c>
      <c r="S30" s="61" t="s">
        <v>54</v>
      </c>
      <c r="T30" s="39"/>
      <c r="U30" s="39"/>
      <c r="V30" s="527">
        <f>SUM(V31:V32)</f>
        <v>0</v>
      </c>
      <c r="W30" s="63">
        <f>IF(V$42=0,0,V30/V$42)</f>
        <v>0</v>
      </c>
      <c r="X30" s="530">
        <f>SUM(X31:X32)</f>
        <v>0</v>
      </c>
      <c r="Y30" s="65">
        <f>IF(X$42=0,0,X30/X$42)</f>
        <v>0</v>
      </c>
      <c r="Z30" s="531">
        <f>SUM(Z31:Z32)</f>
        <v>0</v>
      </c>
      <c r="AA30" s="67">
        <f>IF(Z$42=0,0,Z30/Z$42)</f>
        <v>0</v>
      </c>
      <c r="AC30" s="561">
        <f t="shared" si="1"/>
        <v>0</v>
      </c>
      <c r="AD30" s="561">
        <f t="shared" si="2"/>
        <v>0</v>
      </c>
      <c r="AE30" s="561">
        <f t="shared" si="3"/>
        <v>0</v>
      </c>
      <c r="AF30" s="562" t="e">
        <f>AD30/AC30</f>
        <v>#DIV/0!</v>
      </c>
      <c r="AG30" s="564" t="e">
        <f>IF(AF30&lt;AG$13,"_","on pienempi kuin vertailulaskelmissa")</f>
        <v>#DIV/0!</v>
      </c>
      <c r="AH30" s="564" t="e">
        <f>IF(AF30&gt;AH$13,"_","on suurempi kuin vertailulaskelmissa")</f>
        <v>#DIV/0!</v>
      </c>
      <c r="AI30" s="564">
        <f t="shared" si="4"/>
        <v>1</v>
      </c>
      <c r="AK30" s="45" t="str">
        <f>S30</f>
        <v>Työkustannus</v>
      </c>
      <c r="AL30" s="44" t="str">
        <f t="shared" si="5"/>
        <v>_</v>
      </c>
      <c r="AN30" s="245"/>
    </row>
    <row r="31" spans="2:40" x14ac:dyDescent="0.35">
      <c r="B31" s="77" t="s">
        <v>28</v>
      </c>
      <c r="C31" s="39"/>
      <c r="D31" s="39"/>
      <c r="E31" s="50" t="s">
        <v>27</v>
      </c>
      <c r="F31" s="50" t="s">
        <v>20</v>
      </c>
      <c r="G31" s="50" t="s">
        <v>25</v>
      </c>
      <c r="H31" s="39"/>
      <c r="I31" s="75" t="s">
        <v>22</v>
      </c>
      <c r="K31" s="17" t="s">
        <v>56</v>
      </c>
      <c r="L31" s="215">
        <f>Lähtötiedot!G20-L32</f>
        <v>0</v>
      </c>
      <c r="M31" s="36">
        <f>L31*365*P31</f>
        <v>0</v>
      </c>
      <c r="N31" s="22">
        <v>1</v>
      </c>
      <c r="O31" s="269">
        <f>IF(P$3="Tarkista",0,M31*N31/P$3)</f>
        <v>0</v>
      </c>
      <c r="P31" s="293">
        <f>'Säilörehun tuotantokustannus'!$P$26</f>
        <v>17</v>
      </c>
      <c r="Q31" s="215">
        <f>IF(P31=0,0,O31/P31)</f>
        <v>0</v>
      </c>
      <c r="S31" s="39"/>
      <c r="T31" s="39" t="s">
        <v>243</v>
      </c>
      <c r="U31" s="39"/>
      <c r="V31" s="382">
        <f>IF(P$3="Tarkista",0,O31*(1-Q54)/(M$5/P$3)*100)</f>
        <v>0</v>
      </c>
      <c r="W31" s="536">
        <f>IF(V$42=0,0,V31/V$42)</f>
        <v>0</v>
      </c>
      <c r="X31" s="388">
        <f>Tuotantokustannusvertailu!N116</f>
        <v>0</v>
      </c>
      <c r="Y31" s="538">
        <f>IF(X$42=0,0,X31/X$42)</f>
        <v>0</v>
      </c>
      <c r="Z31" s="389">
        <f>Tuotantokustannusvertailu!AC116</f>
        <v>0</v>
      </c>
      <c r="AA31" s="540">
        <f>IF(Z$42=0,0,Z31/Z$42)</f>
        <v>0</v>
      </c>
      <c r="AC31" s="561">
        <f t="shared" si="1"/>
        <v>0</v>
      </c>
      <c r="AD31" s="561">
        <f t="shared" si="2"/>
        <v>0</v>
      </c>
      <c r="AE31" s="561">
        <f t="shared" si="3"/>
        <v>0</v>
      </c>
      <c r="AF31" s="562" t="e">
        <f>AD31/AC31</f>
        <v>#DIV/0!</v>
      </c>
      <c r="AG31" s="564" t="e">
        <f>IF(AF31&lt;AG$13,"_","on pienempi kuin vertailulaskelmissa")</f>
        <v>#DIV/0!</v>
      </c>
      <c r="AH31" s="564" t="e">
        <f>IF(AF31&gt;AH$13,"_","on suurempi kuin vertailulaskelmissa")</f>
        <v>#DIV/0!</v>
      </c>
      <c r="AI31" s="564">
        <f t="shared" si="4"/>
        <v>1</v>
      </c>
      <c r="AK31" s="45" t="str">
        <f>T31</f>
        <v>Yrittäjäperheen työkust.</v>
      </c>
      <c r="AL31" s="44" t="str">
        <f t="shared" si="5"/>
        <v>_</v>
      </c>
      <c r="AN31" s="245"/>
    </row>
    <row r="32" spans="2:40" x14ac:dyDescent="0.35">
      <c r="B32" s="39"/>
      <c r="C32" s="300" t="s">
        <v>361</v>
      </c>
      <c r="D32" s="640"/>
      <c r="E32" s="36">
        <f>'Rehun käyttö, nettosato'!E31</f>
        <v>0</v>
      </c>
      <c r="F32" s="36">
        <f>'Rehun käyttö, nettosato'!F31</f>
        <v>0</v>
      </c>
      <c r="G32" s="745">
        <f>IF(E32=0,0,F32/E32)</f>
        <v>0</v>
      </c>
      <c r="H32" s="39"/>
      <c r="I32" s="53">
        <f>'Rehun käyttö, nettosato'!I31</f>
        <v>0</v>
      </c>
      <c r="K32" s="17" t="s">
        <v>61</v>
      </c>
      <c r="L32" s="215">
        <f>Lähtötiedot!H24/365</f>
        <v>0</v>
      </c>
      <c r="M32" s="24">
        <f>L32*365*P32</f>
        <v>0</v>
      </c>
      <c r="N32" s="22">
        <v>1</v>
      </c>
      <c r="O32" s="269">
        <f>IF(P$3="Tarkista",0,M32*N32/P$3)</f>
        <v>0</v>
      </c>
      <c r="P32" s="293">
        <f>'Säilörehun tuotantokustannus'!$P$27</f>
        <v>15</v>
      </c>
      <c r="Q32" s="215">
        <f>IF(P32=0,0,O32/P32)</f>
        <v>0</v>
      </c>
      <c r="S32" s="39"/>
      <c r="T32" s="39" t="s">
        <v>62</v>
      </c>
      <c r="U32" s="39"/>
      <c r="V32" s="382">
        <f>IF(P$3="Tarkista",0,O32*(1-Q55)/(M$5/P$3)*100)</f>
        <v>0</v>
      </c>
      <c r="W32" s="536">
        <f>IF(V$42=0,0,V32/V$42)</f>
        <v>0</v>
      </c>
      <c r="X32" s="388">
        <f>Tuotantokustannusvertailu!N117</f>
        <v>0</v>
      </c>
      <c r="Y32" s="538">
        <f>IF(X$42=0,0,X32/X$42)</f>
        <v>0</v>
      </c>
      <c r="Z32" s="389">
        <f>Tuotantokustannusvertailu!AC117</f>
        <v>0</v>
      </c>
      <c r="AA32" s="540">
        <f>IF(Z$42=0,0,Z32/Z$42)</f>
        <v>0</v>
      </c>
      <c r="AC32" s="561">
        <f t="shared" si="1"/>
        <v>0</v>
      </c>
      <c r="AD32" s="561">
        <f t="shared" si="2"/>
        <v>0</v>
      </c>
      <c r="AE32" s="561">
        <f t="shared" si="3"/>
        <v>0</v>
      </c>
      <c r="AF32" s="562" t="e">
        <f>AD32/AC32</f>
        <v>#DIV/0!</v>
      </c>
      <c r="AG32" s="564" t="e">
        <f>IF(AF32&lt;AG$13,"_","on pienempi kuin vertailulaskelmissa")</f>
        <v>#DIV/0!</v>
      </c>
      <c r="AH32" s="564" t="e">
        <f>IF(AF32&gt;AH$13,"_","on suurempi kuin vertailulaskelmissa")</f>
        <v>#DIV/0!</v>
      </c>
      <c r="AI32" s="564">
        <f t="shared" si="4"/>
        <v>1</v>
      </c>
      <c r="AK32" s="45" t="str">
        <f>T32</f>
        <v>Palkkatyökustannus</v>
      </c>
      <c r="AL32" s="44" t="str">
        <f t="shared" si="5"/>
        <v>_</v>
      </c>
      <c r="AN32" s="245"/>
    </row>
    <row r="33" spans="2:40" x14ac:dyDescent="0.35">
      <c r="B33" s="39"/>
      <c r="C33" s="300" t="s">
        <v>362</v>
      </c>
      <c r="D33" s="640"/>
      <c r="E33" s="36">
        <f>'Rehun käyttö, nettosato'!E32</f>
        <v>0</v>
      </c>
      <c r="F33" s="36">
        <f>'Rehun käyttö, nettosato'!F32</f>
        <v>0</v>
      </c>
      <c r="G33" s="745">
        <f>IF(E33=0,0,F33/E33)</f>
        <v>0</v>
      </c>
      <c r="H33" s="39"/>
      <c r="I33" s="53">
        <f>'Rehun käyttö, nettosato'!I32</f>
        <v>0</v>
      </c>
      <c r="K33" s="19"/>
      <c r="L33" s="19"/>
      <c r="M33" s="19"/>
      <c r="N33" s="19"/>
      <c r="O33" s="273"/>
      <c r="P33" s="297"/>
      <c r="Q33" s="19"/>
      <c r="S33" s="39"/>
      <c r="T33" s="39"/>
      <c r="U33" s="39"/>
      <c r="V33" s="382"/>
      <c r="W33" s="537"/>
      <c r="X33" s="388"/>
      <c r="Y33" s="539"/>
      <c r="Z33" s="389"/>
      <c r="AA33" s="541"/>
      <c r="AC33" s="561"/>
      <c r="AD33" s="561"/>
      <c r="AE33" s="561"/>
      <c r="AF33" s="562"/>
      <c r="AK33" s="45"/>
      <c r="AN33" s="245"/>
    </row>
    <row r="34" spans="2:40" ht="16" thickBot="1" x14ac:dyDescent="0.4">
      <c r="B34" s="39"/>
      <c r="C34" s="746" t="s">
        <v>419</v>
      </c>
      <c r="D34" s="640"/>
      <c r="E34" s="36">
        <f>'Rehun käyttö, nettosato'!E33</f>
        <v>0</v>
      </c>
      <c r="F34" s="36">
        <f>'Rehun käyttö, nettosato'!F33</f>
        <v>0</v>
      </c>
      <c r="G34" s="745">
        <f>IF(E34=0,0,F34/E34)</f>
        <v>0</v>
      </c>
      <c r="H34" s="39"/>
      <c r="I34" s="53">
        <f>'Rehun käyttö, nettosato'!I33</f>
        <v>0</v>
      </c>
      <c r="K34" s="51" t="s">
        <v>63</v>
      </c>
      <c r="L34" s="19"/>
      <c r="M34" s="21"/>
      <c r="N34" s="20"/>
      <c r="O34" s="391"/>
      <c r="P34" s="297"/>
      <c r="Q34" s="19"/>
      <c r="S34" s="39"/>
      <c r="T34" s="39"/>
      <c r="U34" s="39"/>
      <c r="V34" s="382"/>
      <c r="W34" s="537"/>
      <c r="X34" s="388"/>
      <c r="Y34" s="539"/>
      <c r="Z34" s="389"/>
      <c r="AA34" s="541"/>
      <c r="AC34" s="561"/>
      <c r="AD34" s="561"/>
      <c r="AE34" s="561"/>
      <c r="AF34" s="562"/>
      <c r="AK34" s="45"/>
      <c r="AN34" s="245"/>
    </row>
    <row r="35" spans="2:40" ht="15" thickTop="1" x14ac:dyDescent="0.35">
      <c r="B35" s="39"/>
      <c r="C35" s="39"/>
      <c r="D35" s="56" t="s">
        <v>31</v>
      </c>
      <c r="E35" s="39"/>
      <c r="F35" s="39"/>
      <c r="G35" s="39"/>
      <c r="H35" s="39"/>
      <c r="I35" s="53">
        <f>SUM(I32:I34)</f>
        <v>0</v>
      </c>
      <c r="K35" s="277" t="s">
        <v>64</v>
      </c>
      <c r="L35" s="292" t="s">
        <v>769</v>
      </c>
      <c r="M35" s="663" t="s">
        <v>20</v>
      </c>
      <c r="N35" s="316" t="s">
        <v>38</v>
      </c>
      <c r="O35" s="402" t="s">
        <v>484</v>
      </c>
      <c r="P35" s="297"/>
      <c r="Q35" s="34" t="s">
        <v>470</v>
      </c>
      <c r="S35" s="61" t="s">
        <v>63</v>
      </c>
      <c r="T35" s="39"/>
      <c r="U35" s="39"/>
      <c r="V35" s="527">
        <f>SUM(V36:V40)</f>
        <v>0</v>
      </c>
      <c r="W35" s="63">
        <f t="shared" ref="W35:W40" si="17">IF(V$42=0,0,V35/V$42)</f>
        <v>0</v>
      </c>
      <c r="X35" s="530">
        <f>SUM(X36:X40)</f>
        <v>0</v>
      </c>
      <c r="Y35" s="65">
        <f t="shared" ref="Y35:Y40" si="18">IF(X$42=0,0,X35/X$42)</f>
        <v>0</v>
      </c>
      <c r="Z35" s="531">
        <f>SUM(Z36:Z40)</f>
        <v>0</v>
      </c>
      <c r="AA35" s="67">
        <f t="shared" ref="AA35:AA40" si="19">IF(Z$42=0,0,Z35/Z$42)</f>
        <v>0</v>
      </c>
      <c r="AC35" s="561">
        <f t="shared" si="1"/>
        <v>0</v>
      </c>
      <c r="AD35" s="561">
        <f t="shared" si="2"/>
        <v>0</v>
      </c>
      <c r="AE35" s="561">
        <f t="shared" si="3"/>
        <v>0</v>
      </c>
      <c r="AF35" s="562" t="e">
        <f t="shared" ref="AF35:AF40" si="20">AD35/AC35</f>
        <v>#DIV/0!</v>
      </c>
      <c r="AG35" s="564" t="e">
        <f>IF(AF35&lt;AG$13,"_","ovat pienemmät kuin vertailulaskelmassa")</f>
        <v>#DIV/0!</v>
      </c>
      <c r="AH35" s="564" t="e">
        <f>IF(AF35&gt;AH$13,"_","ovat suuremmat kuin vertailulaskelmassa")</f>
        <v>#DIV/0!</v>
      </c>
      <c r="AI35" s="564">
        <f t="shared" si="4"/>
        <v>1</v>
      </c>
      <c r="AK35" s="45" t="str">
        <f>S35</f>
        <v>Kiinteät kustannukset</v>
      </c>
      <c r="AL35" s="44" t="str">
        <f t="shared" si="5"/>
        <v>_</v>
      </c>
      <c r="AN35" s="245"/>
    </row>
    <row r="36" spans="2:40" ht="15" thickBot="1" x14ac:dyDescent="0.4">
      <c r="C36" s="39"/>
      <c r="D36" s="39"/>
      <c r="E36" s="39"/>
      <c r="F36" s="39"/>
      <c r="G36" s="39"/>
      <c r="H36" s="39"/>
      <c r="I36" s="39"/>
      <c r="K36" s="278" t="s">
        <v>474</v>
      </c>
      <c r="L36" s="431">
        <f>Lähtötiedot!M19</f>
        <v>70000</v>
      </c>
      <c r="M36" s="16">
        <f>L36/Lähtötiedot!L19</f>
        <v>4666.666666666667</v>
      </c>
      <c r="N36" s="23">
        <f>N$14</f>
        <v>6.6876377818421984E-2</v>
      </c>
      <c r="O36" s="269">
        <f>IF(P$3="Tarkista",0,M36*N36/P$3)</f>
        <v>0</v>
      </c>
      <c r="P36" s="297"/>
      <c r="Q36" s="266">
        <v>0.03</v>
      </c>
      <c r="S36" s="39"/>
      <c r="T36" s="39" t="s">
        <v>67</v>
      </c>
      <c r="U36" s="39"/>
      <c r="V36" s="382">
        <f>IF(P$3="Tarkista",0,O36*(1-Q59)/(M$5/P$3)*100)</f>
        <v>0</v>
      </c>
      <c r="W36" s="536">
        <f t="shared" si="17"/>
        <v>0</v>
      </c>
      <c r="X36" s="388">
        <f>Tuotantokustannusvertailu!N121</f>
        <v>0</v>
      </c>
      <c r="Y36" s="538">
        <f t="shared" si="18"/>
        <v>0</v>
      </c>
      <c r="Z36" s="389">
        <f>Tuotantokustannusvertailu!AC121</f>
        <v>0</v>
      </c>
      <c r="AA36" s="540">
        <f t="shared" si="19"/>
        <v>0</v>
      </c>
      <c r="AC36" s="561">
        <f t="shared" si="1"/>
        <v>0</v>
      </c>
      <c r="AD36" s="561">
        <f t="shared" si="2"/>
        <v>0</v>
      </c>
      <c r="AE36" s="561">
        <f t="shared" si="3"/>
        <v>0</v>
      </c>
      <c r="AF36" s="562" t="e">
        <f t="shared" si="20"/>
        <v>#DIV/0!</v>
      </c>
      <c r="AG36" s="564" t="e">
        <f>IF(AF36&lt;AG$13,"_","ovat pienemmät kuin vertailulaskelmassa")</f>
        <v>#DIV/0!</v>
      </c>
      <c r="AH36" s="564" t="e">
        <f>IF(AF36&gt;AH$13,"_","ovat suuremmat kuin vertailulaskelmassa")</f>
        <v>#DIV/0!</v>
      </c>
      <c r="AI36" s="564">
        <f t="shared" si="4"/>
        <v>1</v>
      </c>
      <c r="AK36" s="45" t="str">
        <f>T36</f>
        <v>Konepoistot</v>
      </c>
      <c r="AL36" s="44" t="str">
        <f t="shared" si="5"/>
        <v>_</v>
      </c>
      <c r="AN36" s="245"/>
    </row>
    <row r="37" spans="2:40" ht="15" thickBot="1" x14ac:dyDescent="0.4">
      <c r="B37" s="77" t="s">
        <v>33</v>
      </c>
      <c r="C37" s="39"/>
      <c r="D37" s="39"/>
      <c r="E37" s="39"/>
      <c r="F37" s="39"/>
      <c r="G37" s="39"/>
      <c r="H37" s="748">
        <f>1-I12/I37</f>
        <v>4.5520351340867515E-3</v>
      </c>
      <c r="I37" s="747">
        <f>SUM(I17:I28)-I35</f>
        <v>2116241.2371134018</v>
      </c>
      <c r="K37" s="279" t="s">
        <v>68</v>
      </c>
      <c r="L37" s="432">
        <f>Lähtötiedot!M20</f>
        <v>120000</v>
      </c>
      <c r="M37" s="16">
        <f>L37/Lähtötiedot!L20</f>
        <v>8000</v>
      </c>
      <c r="N37" s="23">
        <f>N$14</f>
        <v>6.6876377818421984E-2</v>
      </c>
      <c r="O37" s="269">
        <f>IF(P$3="Tarkista",0,M37*N37/P$3)</f>
        <v>0</v>
      </c>
      <c r="P37" s="297"/>
      <c r="Q37" s="266">
        <v>0.01</v>
      </c>
      <c r="S37" s="39"/>
      <c r="T37" s="39" t="s">
        <v>69</v>
      </c>
      <c r="U37" s="39"/>
      <c r="V37" s="382">
        <f>IF(P$3="Tarkista",0,O37*(1-Q60)/(M$5/P$3)*100)</f>
        <v>0</v>
      </c>
      <c r="W37" s="536">
        <f t="shared" si="17"/>
        <v>0</v>
      </c>
      <c r="X37" s="388">
        <f>Tuotantokustannusvertailu!N122</f>
        <v>0</v>
      </c>
      <c r="Y37" s="538">
        <f t="shared" si="18"/>
        <v>0</v>
      </c>
      <c r="Z37" s="389">
        <f>Tuotantokustannusvertailu!AC122</f>
        <v>0</v>
      </c>
      <c r="AA37" s="540">
        <f t="shared" si="19"/>
        <v>0</v>
      </c>
      <c r="AC37" s="561">
        <f t="shared" si="1"/>
        <v>0</v>
      </c>
      <c r="AD37" s="561">
        <f t="shared" si="2"/>
        <v>0</v>
      </c>
      <c r="AE37" s="561">
        <f t="shared" si="3"/>
        <v>0</v>
      </c>
      <c r="AF37" s="562" t="e">
        <f t="shared" si="20"/>
        <v>#DIV/0!</v>
      </c>
      <c r="AG37" s="564" t="e">
        <f>IF(AF37&lt;AG$13,"_","ovat pienemmät kuin vertailulaskelmassa")</f>
        <v>#DIV/0!</v>
      </c>
      <c r="AH37" s="564" t="e">
        <f>IF(AF37&gt;AH$13,"_","ovat suuremmat kuin vertailulaskelmassa")</f>
        <v>#DIV/0!</v>
      </c>
      <c r="AI37" s="564">
        <f t="shared" si="4"/>
        <v>1</v>
      </c>
      <c r="AK37" s="45" t="str">
        <f>T37</f>
        <v>Rakennuspoistot</v>
      </c>
      <c r="AL37" s="44" t="str">
        <f t="shared" si="5"/>
        <v>_</v>
      </c>
      <c r="AN37" s="245"/>
    </row>
    <row r="38" spans="2:40" x14ac:dyDescent="0.35">
      <c r="B38" s="78"/>
      <c r="C38" s="78"/>
      <c r="D38" s="78"/>
      <c r="E38" s="79"/>
      <c r="F38" s="398"/>
      <c r="G38" s="399"/>
      <c r="H38" s="400"/>
      <c r="I38" s="399"/>
      <c r="K38" s="276" t="s">
        <v>71</v>
      </c>
      <c r="L38" s="433">
        <f>Lähtötiedot!M24+Lähtötiedot!M25</f>
        <v>5000</v>
      </c>
      <c r="M38" s="24">
        <f>IF(P$3="Tarkista",0,L38/P$3)</f>
        <v>0</v>
      </c>
      <c r="N38" s="23">
        <f>N$14</f>
        <v>6.6876377818421984E-2</v>
      </c>
      <c r="O38" s="269">
        <f>M38*N38</f>
        <v>0</v>
      </c>
      <c r="P38" s="297"/>
      <c r="Q38" s="24">
        <f>IF(P3="Tarkista",0,(L37*Q37+L36*Q36)/P3)</f>
        <v>0</v>
      </c>
      <c r="S38" s="39"/>
      <c r="T38" s="39" t="s">
        <v>71</v>
      </c>
      <c r="U38" s="39"/>
      <c r="V38" s="382">
        <f>IF(P$3="Tarkista",0,O38*(1-Q61)/(M$5/P$3)*100)</f>
        <v>0</v>
      </c>
      <c r="W38" s="536">
        <f t="shared" si="17"/>
        <v>0</v>
      </c>
      <c r="X38" s="388">
        <f>Tuotantokustannusvertailu!N123</f>
        <v>0</v>
      </c>
      <c r="Y38" s="538">
        <f t="shared" si="18"/>
        <v>0</v>
      </c>
      <c r="Z38" s="389">
        <f>Tuotantokustannusvertailu!AC123</f>
        <v>0</v>
      </c>
      <c r="AA38" s="540">
        <f t="shared" si="19"/>
        <v>0</v>
      </c>
      <c r="AC38" s="561">
        <f t="shared" si="1"/>
        <v>0</v>
      </c>
      <c r="AD38" s="561">
        <f t="shared" si="2"/>
        <v>0</v>
      </c>
      <c r="AE38" s="561">
        <f t="shared" si="3"/>
        <v>0</v>
      </c>
      <c r="AF38" s="562" t="e">
        <f t="shared" si="20"/>
        <v>#DIV/0!</v>
      </c>
      <c r="AG38" s="564" t="e">
        <f>IF(AF38&lt;AG$13,"_","on pienempi kuin vertailulaskelmissa")</f>
        <v>#DIV/0!</v>
      </c>
      <c r="AH38" s="564" t="e">
        <f>IF(AF38&gt;AH$13,"_","on suurempi kuin vertailulaskelmissa")</f>
        <v>#DIV/0!</v>
      </c>
      <c r="AI38" s="564">
        <f t="shared" si="4"/>
        <v>1</v>
      </c>
      <c r="AK38" s="45" t="str">
        <f>T38</f>
        <v>Huolto ja kunnossapito</v>
      </c>
      <c r="AL38" s="44" t="str">
        <f t="shared" si="5"/>
        <v>_</v>
      </c>
      <c r="AN38" s="245"/>
    </row>
    <row r="39" spans="2:40" x14ac:dyDescent="0.35">
      <c r="B39" s="585" t="s">
        <v>681</v>
      </c>
      <c r="C39" s="586"/>
      <c r="D39" s="587"/>
      <c r="E39" s="549" t="s">
        <v>40</v>
      </c>
      <c r="F39" s="543" t="s">
        <v>41</v>
      </c>
      <c r="G39" s="544" t="s">
        <v>42</v>
      </c>
      <c r="H39" s="11"/>
      <c r="I39" s="11"/>
      <c r="K39" s="14" t="s">
        <v>73</v>
      </c>
      <c r="L39" s="36">
        <f>(L36+L37+L41)/2*Q39</f>
        <v>4750</v>
      </c>
      <c r="M39" s="36">
        <f>IF(P$3="Tarkista",0,L39/P$3)</f>
        <v>0</v>
      </c>
      <c r="N39" s="23">
        <f>N$14</f>
        <v>6.6876377818421984E-2</v>
      </c>
      <c r="O39" s="269">
        <f>M39*N39</f>
        <v>0</v>
      </c>
      <c r="P39" s="297"/>
      <c r="Q39" s="23">
        <v>0.05</v>
      </c>
      <c r="S39" s="39"/>
      <c r="T39" s="39" t="s">
        <v>73</v>
      </c>
      <c r="U39" s="39"/>
      <c r="V39" s="382">
        <f>IF(P$3="Tarkista",0,O39*(1-Q62)/(M$5/P$3)*100)</f>
        <v>0</v>
      </c>
      <c r="W39" s="536">
        <f t="shared" si="17"/>
        <v>0</v>
      </c>
      <c r="X39" s="388">
        <f>Tuotantokustannusvertailu!N124</f>
        <v>0</v>
      </c>
      <c r="Y39" s="538">
        <f t="shared" si="18"/>
        <v>0</v>
      </c>
      <c r="Z39" s="389">
        <f>Tuotantokustannusvertailu!AC124</f>
        <v>0</v>
      </c>
      <c r="AA39" s="540">
        <f t="shared" si="19"/>
        <v>0</v>
      </c>
      <c r="AC39" s="561">
        <f t="shared" si="1"/>
        <v>0</v>
      </c>
      <c r="AD39" s="561">
        <f t="shared" si="2"/>
        <v>0</v>
      </c>
      <c r="AE39" s="561">
        <f t="shared" si="3"/>
        <v>0</v>
      </c>
      <c r="AF39" s="562" t="e">
        <f t="shared" si="20"/>
        <v>#DIV/0!</v>
      </c>
      <c r="AG39" s="564" t="e">
        <f>IF(AF39&lt;AG$13,"_","on pienempi kuin vertailulaskelmissa")</f>
        <v>#DIV/0!</v>
      </c>
      <c r="AH39" s="564" t="e">
        <f>IF(AF39&gt;AH$13,"_","on suurempi kuin vertailulaskelmissa")</f>
        <v>#DIV/0!</v>
      </c>
      <c r="AI39" s="564">
        <f t="shared" si="4"/>
        <v>1</v>
      </c>
      <c r="AK39" s="45" t="str">
        <f>T39</f>
        <v>Korko</v>
      </c>
      <c r="AL39" s="44" t="str">
        <f t="shared" si="5"/>
        <v>_</v>
      </c>
      <c r="AN39" s="245"/>
    </row>
    <row r="40" spans="2:40" x14ac:dyDescent="0.35">
      <c r="B40" s="545" t="s">
        <v>689</v>
      </c>
      <c r="C40" s="545"/>
      <c r="D40" s="545"/>
      <c r="E40" s="550">
        <f>O9</f>
        <v>0</v>
      </c>
      <c r="F40" s="546">
        <f>Tuotantokustannusvertailu!G94</f>
        <v>0</v>
      </c>
      <c r="G40" s="547">
        <f>Tuotantokustannusvertailu!V94</f>
        <v>0</v>
      </c>
      <c r="H40" s="11"/>
      <c r="I40" s="11"/>
      <c r="K40" s="14" t="s">
        <v>74</v>
      </c>
      <c r="L40" s="36">
        <f>IF(P3="Tarkista",0,M40*P3)</f>
        <v>0</v>
      </c>
      <c r="M40" s="36">
        <f>O9*Q40</f>
        <v>0</v>
      </c>
      <c r="N40" s="23">
        <f>N$14</f>
        <v>6.6876377818421984E-2</v>
      </c>
      <c r="O40" s="269">
        <f>M40*N40</f>
        <v>0</v>
      </c>
      <c r="P40" s="297"/>
      <c r="Q40" s="23">
        <v>0.06</v>
      </c>
      <c r="S40" s="39"/>
      <c r="T40" s="39" t="s">
        <v>74</v>
      </c>
      <c r="U40" s="39"/>
      <c r="V40" s="382">
        <f>IF(P$3="Tarkista",0,O40*(1-Q63)/(M$5/P$3)*100)</f>
        <v>0</v>
      </c>
      <c r="W40" s="536">
        <f t="shared" si="17"/>
        <v>0</v>
      </c>
      <c r="X40" s="388">
        <f>Tuotantokustannusvertailu!N125</f>
        <v>0</v>
      </c>
      <c r="Y40" s="538">
        <f t="shared" si="18"/>
        <v>0</v>
      </c>
      <c r="Z40" s="389">
        <f>Tuotantokustannusvertailu!AC125</f>
        <v>0</v>
      </c>
      <c r="AA40" s="540">
        <f t="shared" si="19"/>
        <v>0</v>
      </c>
      <c r="AC40" s="561">
        <f t="shared" si="1"/>
        <v>0</v>
      </c>
      <c r="AD40" s="561">
        <f t="shared" si="2"/>
        <v>0</v>
      </c>
      <c r="AE40" s="561">
        <f t="shared" si="3"/>
        <v>0</v>
      </c>
      <c r="AF40" s="562" t="e">
        <f t="shared" si="20"/>
        <v>#DIV/0!</v>
      </c>
      <c r="AG40" s="564" t="e">
        <f>IF(AF40&lt;AG$13,"_","ovat pienemmät kuin vertailulaskelmassa")</f>
        <v>#DIV/0!</v>
      </c>
      <c r="AH40" s="564" t="e">
        <f>IF(AF40&gt;AH$13,"_","ovat suuremmat kuin vertailulaskelmassa")</f>
        <v>#DIV/0!</v>
      </c>
      <c r="AI40" s="564">
        <f t="shared" si="4"/>
        <v>1</v>
      </c>
      <c r="AK40" s="45" t="str">
        <f>T40</f>
        <v>Yleiskustannus</v>
      </c>
      <c r="AL40" s="44" t="str">
        <f t="shared" si="5"/>
        <v>_</v>
      </c>
      <c r="AN40" s="245"/>
    </row>
    <row r="41" spans="2:40" ht="15" thickBot="1" x14ac:dyDescent="0.4">
      <c r="B41" s="548" t="s">
        <v>678</v>
      </c>
      <c r="C41" s="545"/>
      <c r="D41" s="545"/>
      <c r="E41" s="550">
        <f>SUM(O14:O28)</f>
        <v>0</v>
      </c>
      <c r="F41" s="546">
        <f>SUM(Tuotantokustannusvertailu!G99:G113)</f>
        <v>0</v>
      </c>
      <c r="G41" s="547">
        <f>SUM(Tuotantokustannusvertailu!V99:V113)</f>
        <v>0</v>
      </c>
      <c r="H41" s="11"/>
      <c r="I41" s="11"/>
      <c r="J41" s="80"/>
      <c r="K41" s="39"/>
      <c r="L41" s="39"/>
      <c r="M41" s="39"/>
      <c r="N41" s="39"/>
      <c r="O41" s="89"/>
      <c r="P41" s="298"/>
      <c r="Q41" s="39"/>
      <c r="S41" s="39"/>
      <c r="T41" s="39"/>
      <c r="U41" s="39"/>
      <c r="V41" s="382"/>
      <c r="W41" s="382"/>
      <c r="X41" s="388"/>
      <c r="Y41" s="388"/>
      <c r="Z41" s="389"/>
      <c r="AA41" s="389"/>
      <c r="AC41" s="561"/>
      <c r="AD41" s="561"/>
      <c r="AE41" s="561"/>
      <c r="AF41" s="562"/>
      <c r="AK41" s="45"/>
      <c r="AN41" s="245"/>
    </row>
    <row r="42" spans="2:40" s="49" customFormat="1" ht="15" thickBot="1" x14ac:dyDescent="0.4">
      <c r="B42" s="551" t="s">
        <v>675</v>
      </c>
      <c r="C42" s="551"/>
      <c r="D42" s="551"/>
      <c r="E42" s="552">
        <f>E40-E41</f>
        <v>0</v>
      </c>
      <c r="F42" s="553">
        <f>F40-F41</f>
        <v>0</v>
      </c>
      <c r="G42" s="554">
        <f>G40-G41</f>
        <v>0</v>
      </c>
      <c r="H42" s="665"/>
      <c r="I42" s="123"/>
      <c r="K42" s="39"/>
      <c r="L42" s="39"/>
      <c r="M42" s="39"/>
      <c r="N42" s="56" t="s">
        <v>485</v>
      </c>
      <c r="O42" s="271">
        <f>SUM(O14:O40)</f>
        <v>0</v>
      </c>
      <c r="P42" s="298"/>
      <c r="Q42" s="39"/>
      <c r="S42" s="61" t="s">
        <v>506</v>
      </c>
      <c r="T42" s="77"/>
      <c r="U42" s="44"/>
      <c r="V42" s="383">
        <f>SUM(V15:V29,V31:V33,V36:V41)</f>
        <v>0</v>
      </c>
      <c r="W42" s="529"/>
      <c r="X42" s="405">
        <f>SUM(X15:X29,X31:X33,X36:X41)</f>
        <v>0</v>
      </c>
      <c r="Y42" s="532"/>
      <c r="Z42" s="406">
        <f>SUM(Z15:Z29,Z31:Z33,Z36:Z41)</f>
        <v>0</v>
      </c>
      <c r="AA42" s="533"/>
      <c r="AC42" s="561">
        <f t="shared" si="1"/>
        <v>0</v>
      </c>
      <c r="AD42" s="561">
        <f t="shared" si="2"/>
        <v>0</v>
      </c>
      <c r="AE42" s="561">
        <f t="shared" si="3"/>
        <v>0</v>
      </c>
      <c r="AF42" s="562" t="e">
        <f>AD42/AC42</f>
        <v>#DIV/0!</v>
      </c>
      <c r="AG42" s="564" t="e">
        <f>IF(AF42&lt;AG$13,"_","on pienempi kuin vertailulaskelmissa")</f>
        <v>#DIV/0!</v>
      </c>
      <c r="AH42" s="564" t="e">
        <f>IF(AF42&gt;AH$13,"_","on suurempi kuin vertailulaskelmissa")</f>
        <v>#DIV/0!</v>
      </c>
      <c r="AI42" s="564">
        <f t="shared" si="4"/>
        <v>1</v>
      </c>
      <c r="AK42" s="45" t="str">
        <f>S42</f>
        <v xml:space="preserve">Tuotantokust. €/liha-kg </v>
      </c>
      <c r="AL42" s="44" t="str">
        <f t="shared" si="5"/>
        <v>_</v>
      </c>
      <c r="AN42" s="245"/>
    </row>
    <row r="43" spans="2:40" s="49" customFormat="1" ht="15" thickBot="1" x14ac:dyDescent="0.4">
      <c r="B43" s="542" t="s">
        <v>679</v>
      </c>
      <c r="C43" s="545"/>
      <c r="D43" s="545"/>
      <c r="E43" s="550">
        <f>SUM(O31:O32)</f>
        <v>0</v>
      </c>
      <c r="F43" s="546">
        <f>SUM(Tuotantokustannusvertailu!G116:G117)</f>
        <v>0</v>
      </c>
      <c r="G43" s="547">
        <f>SUM(Tuotantokustannusvertailu!V116:V117)</f>
        <v>0</v>
      </c>
      <c r="H43" s="665"/>
      <c r="I43" s="123"/>
      <c r="K43" s="39"/>
      <c r="L43" s="39"/>
      <c r="M43" s="39"/>
      <c r="N43" s="56" t="s">
        <v>511</v>
      </c>
      <c r="O43" s="392">
        <f>SUM(O6:O7)*Lähtötiedot!Q20</f>
        <v>0</v>
      </c>
      <c r="P43" s="298"/>
      <c r="Q43" s="381">
        <f>IF(O9=0,0,O43/O9)</f>
        <v>0</v>
      </c>
      <c r="S43" s="61"/>
      <c r="T43" s="384" t="s">
        <v>513</v>
      </c>
      <c r="U43" s="127"/>
      <c r="V43" s="404"/>
      <c r="W43" s="535"/>
      <c r="X43" s="405"/>
      <c r="Y43" s="532"/>
      <c r="Z43" s="406"/>
      <c r="AA43" s="533"/>
      <c r="AC43" s="424"/>
      <c r="AD43" s="424"/>
      <c r="AE43" s="424"/>
      <c r="AF43" s="424"/>
      <c r="AG43" s="564"/>
      <c r="AH43" s="564"/>
      <c r="AI43" s="564"/>
      <c r="AK43" s="45"/>
      <c r="AL43" s="44"/>
      <c r="AN43" s="245"/>
    </row>
    <row r="44" spans="2:40" s="49" customFormat="1" ht="15" thickBot="1" x14ac:dyDescent="0.4">
      <c r="B44" s="551" t="s">
        <v>676</v>
      </c>
      <c r="C44" s="551"/>
      <c r="D44" s="551"/>
      <c r="E44" s="552">
        <f>E42-E43</f>
        <v>0</v>
      </c>
      <c r="F44" s="553">
        <f>F42-F43</f>
        <v>0</v>
      </c>
      <c r="G44" s="554">
        <f>G42-G43</f>
        <v>0</v>
      </c>
      <c r="H44" s="665"/>
      <c r="I44" s="123"/>
      <c r="K44" s="39"/>
      <c r="L44" s="39"/>
      <c r="M44" s="39"/>
      <c r="N44" s="56" t="s">
        <v>509</v>
      </c>
      <c r="O44" s="271">
        <f>O42-O43</f>
        <v>0</v>
      </c>
      <c r="P44" s="379"/>
      <c r="Q44" s="380"/>
      <c r="S44" s="61"/>
      <c r="T44" s="384" t="s">
        <v>507</v>
      </c>
      <c r="U44" s="127"/>
      <c r="V44" s="404">
        <f>V42-V15+Q14</f>
        <v>0</v>
      </c>
      <c r="W44" s="535"/>
      <c r="X44" s="405"/>
      <c r="Y44" s="532"/>
      <c r="Z44" s="406"/>
      <c r="AA44" s="533"/>
      <c r="AC44" s="424"/>
      <c r="AD44" s="424"/>
      <c r="AE44" s="424"/>
      <c r="AF44" s="424"/>
      <c r="AG44" s="564"/>
      <c r="AH44" s="564"/>
      <c r="AI44" s="564"/>
      <c r="AK44" s="45"/>
      <c r="AL44" s="44"/>
      <c r="AN44" s="245"/>
    </row>
    <row r="45" spans="2:40" s="49" customFormat="1" x14ac:dyDescent="0.35">
      <c r="B45" s="548" t="s">
        <v>680</v>
      </c>
      <c r="C45" s="545"/>
      <c r="D45" s="545"/>
      <c r="E45" s="550">
        <f>SUM(O36:O40)</f>
        <v>0</v>
      </c>
      <c r="F45" s="546">
        <f>SUM(Tuotantokustannusvertailu!G121:G125)</f>
        <v>0</v>
      </c>
      <c r="G45" s="547">
        <f>SUM(Tuotantokustannusvertailu!V121:V125)</f>
        <v>0</v>
      </c>
      <c r="H45" s="665"/>
      <c r="I45" s="123"/>
      <c r="K45" s="39"/>
      <c r="L45" s="39"/>
      <c r="M45" s="39"/>
      <c r="N45" s="39"/>
      <c r="O45" s="39"/>
      <c r="P45" s="39"/>
      <c r="Q45" s="39"/>
      <c r="S45" s="61"/>
      <c r="T45" s="37" t="str">
        <f>CONCATENATE('Säilörehun tuotantokustannus'!$N$5," €/kg ka eli ",Q14," €/tuotettu liha-kg")</f>
        <v>0,12 €/kg ka eli 0 €/tuotettu liha-kg</v>
      </c>
      <c r="U45" s="37"/>
      <c r="V45" s="386"/>
      <c r="W45" s="37"/>
      <c r="X45" s="64"/>
      <c r="Y45" s="57"/>
      <c r="Z45" s="66"/>
      <c r="AA45" s="58"/>
      <c r="AC45" s="424"/>
      <c r="AD45" s="424"/>
      <c r="AE45" s="424"/>
      <c r="AF45" s="424"/>
      <c r="AG45" s="564"/>
      <c r="AH45" s="564"/>
      <c r="AI45" s="564"/>
      <c r="AK45" s="45"/>
      <c r="AL45" s="44"/>
      <c r="AN45" s="245"/>
    </row>
    <row r="46" spans="2:40" s="49" customFormat="1" x14ac:dyDescent="0.35">
      <c r="B46" s="551" t="s">
        <v>677</v>
      </c>
      <c r="C46" s="551"/>
      <c r="D46" s="551"/>
      <c r="E46" s="552">
        <f>E44-E45</f>
        <v>0</v>
      </c>
      <c r="F46" s="553">
        <f>F44-F45</f>
        <v>0</v>
      </c>
      <c r="G46" s="554">
        <f>G44-G45</f>
        <v>0</v>
      </c>
      <c r="H46" s="665"/>
      <c r="I46" s="123"/>
      <c r="K46" s="39"/>
      <c r="L46" s="39"/>
      <c r="M46" s="39"/>
      <c r="N46" s="39"/>
      <c r="O46" s="39"/>
      <c r="P46" s="39"/>
      <c r="Q46" s="39"/>
      <c r="S46" s="61"/>
      <c r="T46" s="77"/>
      <c r="U46" s="77"/>
      <c r="V46" s="62"/>
      <c r="W46" s="39"/>
      <c r="X46" s="64"/>
      <c r="Y46" s="57"/>
      <c r="Z46" s="66"/>
      <c r="AA46" s="58"/>
      <c r="AC46" s="424"/>
      <c r="AD46" s="424"/>
      <c r="AE46" s="424"/>
      <c r="AF46" s="424"/>
      <c r="AG46" s="564"/>
      <c r="AH46" s="564"/>
      <c r="AI46" s="564"/>
      <c r="AK46" s="46"/>
      <c r="AL46" s="44"/>
      <c r="AM46" s="80"/>
      <c r="AN46" s="245"/>
    </row>
    <row r="47" spans="2:40" s="49" customFormat="1" x14ac:dyDescent="0.35">
      <c r="R47" s="80"/>
      <c r="AB47" s="80"/>
      <c r="AC47" s="560"/>
      <c r="AD47" s="560"/>
      <c r="AE47" s="560"/>
      <c r="AF47" s="560"/>
      <c r="AG47" s="565"/>
      <c r="AH47" s="565"/>
      <c r="AI47" s="565"/>
      <c r="AJ47" s="80"/>
      <c r="AK47" s="81"/>
    </row>
    <row r="48" spans="2:40" s="49" customFormat="1" x14ac:dyDescent="0.35">
      <c r="B48" s="555"/>
      <c r="C48" s="555"/>
      <c r="D48" s="555"/>
      <c r="E48" s="556"/>
      <c r="F48" s="555"/>
      <c r="G48" s="555"/>
      <c r="H48" s="555"/>
      <c r="I48" s="80"/>
      <c r="K48" s="213"/>
      <c r="L48" s="213"/>
      <c r="M48" s="213"/>
      <c r="N48" s="213"/>
      <c r="O48" s="213"/>
      <c r="P48" s="213"/>
      <c r="Q48" s="213"/>
      <c r="X48" s="81"/>
      <c r="Y48" s="82"/>
      <c r="AC48" s="424"/>
      <c r="AD48" s="424"/>
      <c r="AE48" s="424"/>
      <c r="AF48" s="424"/>
      <c r="AG48" s="564"/>
      <c r="AH48" s="564"/>
      <c r="AI48" s="564"/>
      <c r="AK48" s="81"/>
    </row>
    <row r="49" spans="2:37" s="49" customFormat="1" x14ac:dyDescent="0.35">
      <c r="B49" s="213"/>
      <c r="C49" s="213"/>
      <c r="D49" s="213"/>
      <c r="E49" s="213"/>
      <c r="F49" s="213"/>
      <c r="G49" s="213"/>
      <c r="H49" s="213"/>
      <c r="I49" s="213"/>
      <c r="K49" s="313" t="str">
        <f>T15</f>
        <v xml:space="preserve">   Säilörehu</v>
      </c>
      <c r="L49" s="393">
        <f>V15</f>
        <v>0</v>
      </c>
      <c r="M49" s="213"/>
      <c r="N49" s="213"/>
      <c r="O49" s="213"/>
      <c r="P49" s="213"/>
      <c r="Q49" s="213"/>
      <c r="AC49" s="424"/>
      <c r="AD49" s="424"/>
      <c r="AE49" s="424"/>
      <c r="AF49" s="424"/>
      <c r="AG49" s="564"/>
      <c r="AH49" s="564"/>
      <c r="AI49" s="564"/>
      <c r="AK49" s="81"/>
    </row>
    <row r="50" spans="2:37" s="49" customFormat="1" x14ac:dyDescent="0.35">
      <c r="B50" s="213"/>
      <c r="C50" s="213"/>
      <c r="D50" s="213"/>
      <c r="E50" s="213"/>
      <c r="F50" s="213"/>
      <c r="G50" s="213"/>
      <c r="H50" s="213"/>
      <c r="I50" s="213"/>
      <c r="K50" s="313" t="str">
        <f>T16</f>
        <v xml:space="preserve">   Rehuvilja</v>
      </c>
      <c r="L50" s="393">
        <f>V16</f>
        <v>0</v>
      </c>
      <c r="M50" s="213"/>
      <c r="N50" s="213"/>
      <c r="O50" s="213"/>
      <c r="P50" s="213"/>
      <c r="Q50" s="213"/>
      <c r="AC50" s="424"/>
      <c r="AD50" s="424"/>
      <c r="AE50" s="424"/>
      <c r="AF50" s="424"/>
      <c r="AG50" s="564"/>
      <c r="AH50" s="564"/>
      <c r="AI50" s="564"/>
      <c r="AK50" s="81"/>
    </row>
    <row r="51" spans="2:37" s="49" customFormat="1" x14ac:dyDescent="0.35">
      <c r="B51" s="213"/>
      <c r="C51" s="213"/>
      <c r="D51" s="213"/>
      <c r="E51" s="213"/>
      <c r="F51" s="213"/>
      <c r="G51" s="213"/>
      <c r="H51" s="213"/>
      <c r="I51" s="213"/>
      <c r="K51" s="313" t="str">
        <f>T20</f>
        <v>Ostorehut</v>
      </c>
      <c r="L51" s="393">
        <f>V20</f>
        <v>0</v>
      </c>
      <c r="M51" s="213"/>
      <c r="N51" s="213"/>
      <c r="O51" s="213"/>
      <c r="P51" s="213"/>
      <c r="Q51" s="213"/>
      <c r="S51" s="83"/>
      <c r="T51" s="83"/>
      <c r="U51" s="83"/>
      <c r="V51" s="83"/>
      <c r="W51" s="83"/>
      <c r="X51" s="83"/>
      <c r="AC51" s="424"/>
      <c r="AD51" s="424"/>
      <c r="AE51" s="424"/>
      <c r="AF51" s="424"/>
      <c r="AG51" s="564"/>
      <c r="AH51" s="564"/>
      <c r="AI51" s="564"/>
      <c r="AK51" s="81"/>
    </row>
    <row r="52" spans="2:37" s="49" customFormat="1" x14ac:dyDescent="0.35">
      <c r="B52" s="213"/>
      <c r="C52" s="213"/>
      <c r="D52" s="213"/>
      <c r="E52" s="213"/>
      <c r="F52" s="213"/>
      <c r="G52" s="213"/>
      <c r="H52" s="213"/>
      <c r="I52" s="213"/>
      <c r="K52" s="313" t="str">
        <f>T26</f>
        <v>Eläinten ostot</v>
      </c>
      <c r="L52" s="393">
        <f>V26</f>
        <v>0</v>
      </c>
      <c r="M52" s="213"/>
      <c r="N52" s="213"/>
      <c r="O52" s="213"/>
      <c r="P52" s="213"/>
      <c r="Q52" s="213"/>
      <c r="S52" s="83"/>
      <c r="T52" s="83"/>
      <c r="U52" s="83" t="str">
        <f>V12</f>
        <v>Oma laskelma</v>
      </c>
      <c r="V52" s="83" t="str">
        <f>X12</f>
        <v>Hyvä</v>
      </c>
      <c r="W52" s="83" t="str">
        <f>Z12</f>
        <v>Erinomainen</v>
      </c>
      <c r="X52" s="83"/>
      <c r="AC52" s="424"/>
      <c r="AD52" s="424"/>
      <c r="AE52" s="424"/>
      <c r="AF52" s="424"/>
      <c r="AG52" s="564"/>
      <c r="AH52" s="564"/>
      <c r="AI52" s="564"/>
      <c r="AK52" s="81"/>
    </row>
    <row r="53" spans="2:37" s="49" customFormat="1" x14ac:dyDescent="0.35">
      <c r="B53" s="213"/>
      <c r="C53" s="213"/>
      <c r="D53" s="213"/>
      <c r="E53" s="213"/>
      <c r="F53" s="213"/>
      <c r="G53" s="213"/>
      <c r="H53" s="213"/>
      <c r="I53" s="213"/>
      <c r="K53" s="212" t="s">
        <v>510</v>
      </c>
      <c r="L53" s="393">
        <f>V14-SUM(L49:L52)</f>
        <v>0</v>
      </c>
      <c r="M53" s="213"/>
      <c r="N53" s="213"/>
      <c r="O53" s="213"/>
      <c r="P53" s="213"/>
      <c r="Q53" s="213"/>
      <c r="S53" s="83"/>
      <c r="T53" s="84" t="str">
        <f>S14</f>
        <v>Muuttuvat kustannukset</v>
      </c>
      <c r="U53" s="557">
        <f>V14</f>
        <v>0</v>
      </c>
      <c r="V53" s="557">
        <f>X14</f>
        <v>0</v>
      </c>
      <c r="W53" s="557">
        <f>Z14</f>
        <v>0</v>
      </c>
      <c r="X53" s="83"/>
      <c r="AC53" s="424"/>
      <c r="AD53" s="424"/>
      <c r="AE53" s="424"/>
      <c r="AF53" s="424"/>
      <c r="AG53" s="564"/>
      <c r="AH53" s="564"/>
      <c r="AI53" s="564"/>
      <c r="AK53" s="81"/>
    </row>
    <row r="54" spans="2:37" s="49" customFormat="1" x14ac:dyDescent="0.35">
      <c r="B54" s="213"/>
      <c r="C54" s="213"/>
      <c r="D54" s="213"/>
      <c r="E54" s="213"/>
      <c r="F54" s="213"/>
      <c r="G54" s="213"/>
      <c r="H54" s="213"/>
      <c r="I54" s="213"/>
      <c r="K54" s="313" t="str">
        <f>S30</f>
        <v>Työkustannus</v>
      </c>
      <c r="L54" s="393">
        <f>V30</f>
        <v>0</v>
      </c>
      <c r="M54" s="213"/>
      <c r="N54" s="213"/>
      <c r="O54" s="213"/>
      <c r="P54" s="213"/>
      <c r="Q54" s="213"/>
      <c r="S54" s="83"/>
      <c r="T54" s="84" t="str">
        <f>S30</f>
        <v>Työkustannus</v>
      </c>
      <c r="U54" s="557">
        <f>V30</f>
        <v>0</v>
      </c>
      <c r="V54" s="557">
        <f>X30</f>
        <v>0</v>
      </c>
      <c r="W54" s="557">
        <f>Z30</f>
        <v>0</v>
      </c>
      <c r="X54" s="83"/>
      <c r="AC54" s="424"/>
      <c r="AD54" s="424"/>
      <c r="AE54" s="424"/>
      <c r="AF54" s="424"/>
      <c r="AG54" s="564"/>
      <c r="AH54" s="564"/>
      <c r="AI54" s="564"/>
      <c r="AK54" s="81"/>
    </row>
    <row r="55" spans="2:37" s="49" customFormat="1" x14ac:dyDescent="0.35">
      <c r="B55" s="213"/>
      <c r="C55" s="213"/>
      <c r="D55" s="213"/>
      <c r="E55" s="213"/>
      <c r="F55" s="213"/>
      <c r="G55" s="213"/>
      <c r="H55" s="213"/>
      <c r="I55" s="213"/>
      <c r="K55" s="313" t="str">
        <f>S35</f>
        <v>Kiinteät kustannukset</v>
      </c>
      <c r="L55" s="393">
        <f>V35</f>
        <v>0</v>
      </c>
      <c r="M55" s="213"/>
      <c r="N55" s="213"/>
      <c r="O55" s="213"/>
      <c r="P55" s="213"/>
      <c r="Q55" s="213"/>
      <c r="S55" s="83"/>
      <c r="T55" s="84" t="str">
        <f>S35</f>
        <v>Kiinteät kustannukset</v>
      </c>
      <c r="U55" s="557">
        <f>V35</f>
        <v>0</v>
      </c>
      <c r="V55" s="557">
        <f>X35</f>
        <v>0</v>
      </c>
      <c r="W55" s="557">
        <f>Z35</f>
        <v>0</v>
      </c>
      <c r="X55" s="83"/>
      <c r="AC55" s="424"/>
      <c r="AD55" s="424"/>
      <c r="AE55" s="424"/>
      <c r="AF55" s="424"/>
      <c r="AG55" s="564"/>
      <c r="AH55" s="564"/>
      <c r="AI55" s="564"/>
      <c r="AK55" s="81"/>
    </row>
    <row r="56" spans="2:37" s="49" customFormat="1" x14ac:dyDescent="0.35">
      <c r="B56" s="213"/>
      <c r="C56" s="213"/>
      <c r="D56" s="213"/>
      <c r="E56" s="213"/>
      <c r="F56" s="213"/>
      <c r="G56" s="213"/>
      <c r="H56" s="213"/>
      <c r="I56" s="213"/>
      <c r="K56" s="213"/>
      <c r="L56" s="213"/>
      <c r="M56" s="213"/>
      <c r="N56" s="213"/>
      <c r="O56" s="213"/>
      <c r="P56" s="213"/>
      <c r="Q56" s="213"/>
      <c r="AC56" s="424"/>
      <c r="AD56" s="424"/>
      <c r="AE56" s="424"/>
      <c r="AF56" s="424"/>
      <c r="AG56" s="564"/>
      <c r="AH56" s="564"/>
      <c r="AI56" s="564"/>
      <c r="AK56" s="81"/>
    </row>
    <row r="57" spans="2:37" s="49" customFormat="1" x14ac:dyDescent="0.35">
      <c r="B57" s="213"/>
      <c r="C57" s="213"/>
      <c r="D57" s="213"/>
      <c r="E57" s="213"/>
      <c r="F57" s="213"/>
      <c r="G57" s="213"/>
      <c r="H57" s="213"/>
      <c r="I57" s="213"/>
      <c r="K57" s="213"/>
      <c r="L57" s="213"/>
      <c r="M57" s="213"/>
      <c r="N57" s="213"/>
      <c r="O57" s="213"/>
      <c r="P57" s="213"/>
      <c r="Q57" s="213"/>
      <c r="AC57" s="424"/>
      <c r="AD57" s="424"/>
      <c r="AE57" s="424"/>
      <c r="AF57" s="424"/>
      <c r="AG57" s="564"/>
      <c r="AH57" s="564"/>
      <c r="AI57" s="564"/>
      <c r="AK57" s="81"/>
    </row>
    <row r="58" spans="2:37" s="49" customFormat="1" x14ac:dyDescent="0.35">
      <c r="B58" s="213"/>
      <c r="C58" s="213"/>
      <c r="D58" s="213"/>
      <c r="E58" s="213"/>
      <c r="F58" s="213"/>
      <c r="G58" s="213"/>
      <c r="H58" s="213"/>
      <c r="I58" s="213"/>
      <c r="K58" s="213"/>
      <c r="L58" s="213"/>
      <c r="M58" s="213"/>
      <c r="N58" s="213"/>
      <c r="O58" s="213"/>
      <c r="P58" s="213"/>
      <c r="Q58" s="213"/>
      <c r="AC58" s="424"/>
      <c r="AD58" s="424"/>
      <c r="AE58" s="424"/>
      <c r="AF58" s="424"/>
      <c r="AG58" s="564"/>
      <c r="AH58" s="564"/>
      <c r="AI58" s="564"/>
      <c r="AK58" s="81"/>
    </row>
    <row r="59" spans="2:37" s="49" customFormat="1" x14ac:dyDescent="0.35">
      <c r="B59" s="213"/>
      <c r="C59" s="213"/>
      <c r="D59" s="213"/>
      <c r="E59" s="213"/>
      <c r="F59" s="213"/>
      <c r="G59" s="213"/>
      <c r="H59" s="213"/>
      <c r="I59" s="213"/>
      <c r="K59" s="213"/>
      <c r="L59" s="213"/>
      <c r="M59" s="213"/>
      <c r="N59" s="213"/>
      <c r="O59" s="213"/>
      <c r="P59" s="213"/>
      <c r="Q59" s="213"/>
      <c r="AC59" s="424"/>
      <c r="AD59" s="424"/>
      <c r="AE59" s="424"/>
      <c r="AF59" s="424"/>
      <c r="AG59" s="564"/>
      <c r="AH59" s="564"/>
      <c r="AI59" s="564"/>
      <c r="AK59" s="81"/>
    </row>
    <row r="60" spans="2:37" s="49" customFormat="1" x14ac:dyDescent="0.35">
      <c r="B60" s="213"/>
      <c r="C60" s="213"/>
      <c r="D60" s="213"/>
      <c r="E60" s="213"/>
      <c r="F60" s="213"/>
      <c r="G60" s="213"/>
      <c r="H60" s="213"/>
      <c r="I60" s="213"/>
      <c r="K60" s="213"/>
      <c r="L60" s="213"/>
      <c r="M60" s="213"/>
      <c r="N60" s="213"/>
      <c r="O60" s="213"/>
      <c r="P60" s="213"/>
      <c r="Q60" s="213"/>
      <c r="AC60" s="424"/>
      <c r="AD60" s="424"/>
      <c r="AE60" s="424"/>
      <c r="AF60" s="424"/>
      <c r="AG60" s="564"/>
      <c r="AH60" s="564"/>
      <c r="AI60" s="564"/>
      <c r="AK60" s="81"/>
    </row>
    <row r="61" spans="2:37" s="49" customFormat="1" x14ac:dyDescent="0.35">
      <c r="B61" s="213"/>
      <c r="C61" s="213"/>
      <c r="D61" s="213"/>
      <c r="E61" s="213"/>
      <c r="F61" s="213"/>
      <c r="G61" s="213"/>
      <c r="H61" s="213"/>
      <c r="I61" s="213"/>
      <c r="K61" s="213"/>
      <c r="L61" s="213"/>
      <c r="M61" s="213"/>
      <c r="N61" s="213"/>
      <c r="O61" s="213"/>
      <c r="P61" s="213"/>
      <c r="Q61" s="213"/>
      <c r="AC61" s="424"/>
      <c r="AD61" s="424"/>
      <c r="AE61" s="424"/>
      <c r="AF61" s="424"/>
      <c r="AG61" s="564"/>
      <c r="AH61" s="564"/>
      <c r="AI61" s="564"/>
      <c r="AK61" s="81"/>
    </row>
    <row r="62" spans="2:37" s="49" customFormat="1" x14ac:dyDescent="0.35">
      <c r="B62" s="213"/>
      <c r="C62" s="213"/>
      <c r="D62" s="213"/>
      <c r="E62" s="213"/>
      <c r="F62" s="213"/>
      <c r="G62" s="213"/>
      <c r="H62" s="213"/>
      <c r="I62" s="213"/>
      <c r="K62" s="213"/>
      <c r="L62" s="213"/>
      <c r="M62" s="213"/>
      <c r="N62" s="213"/>
      <c r="O62" s="213"/>
      <c r="P62" s="213"/>
      <c r="Q62" s="213"/>
      <c r="AC62" s="424"/>
      <c r="AD62" s="424"/>
      <c r="AE62" s="424"/>
      <c r="AF62" s="424"/>
      <c r="AG62" s="564"/>
      <c r="AH62" s="564"/>
      <c r="AI62" s="564"/>
      <c r="AK62" s="81"/>
    </row>
    <row r="63" spans="2:37" s="49" customFormat="1" x14ac:dyDescent="0.35">
      <c r="B63" s="213"/>
      <c r="C63" s="213"/>
      <c r="D63" s="213"/>
      <c r="E63" s="213"/>
      <c r="F63" s="213"/>
      <c r="G63" s="213"/>
      <c r="H63" s="213"/>
      <c r="I63" s="213"/>
      <c r="K63" s="213"/>
      <c r="L63" s="213"/>
      <c r="M63" s="213"/>
      <c r="N63" s="213"/>
      <c r="O63" s="213"/>
      <c r="P63" s="213"/>
      <c r="Q63" s="213"/>
      <c r="AC63" s="424"/>
      <c r="AD63" s="424"/>
      <c r="AE63" s="424"/>
      <c r="AF63" s="424"/>
      <c r="AG63" s="564"/>
      <c r="AH63" s="564"/>
      <c r="AI63" s="564"/>
      <c r="AK63" s="81"/>
    </row>
    <row r="64" spans="2:37" s="49" customFormat="1" x14ac:dyDescent="0.35">
      <c r="B64" s="213"/>
      <c r="C64" s="213"/>
      <c r="D64" s="213"/>
      <c r="E64" s="213"/>
      <c r="F64" s="213"/>
      <c r="G64" s="213"/>
      <c r="H64" s="213"/>
      <c r="I64" s="213"/>
      <c r="K64" s="213"/>
      <c r="L64" s="213"/>
      <c r="M64" s="213"/>
      <c r="N64" s="213"/>
      <c r="O64" s="213"/>
      <c r="P64" s="213"/>
      <c r="Q64" s="213"/>
      <c r="AC64" s="424"/>
      <c r="AD64" s="424"/>
      <c r="AE64" s="424"/>
      <c r="AF64" s="424"/>
      <c r="AG64" s="564"/>
      <c r="AH64" s="564"/>
      <c r="AI64" s="564"/>
      <c r="AK64" s="81"/>
    </row>
    <row r="65" spans="2:37" s="49" customFormat="1" x14ac:dyDescent="0.35">
      <c r="B65" s="213"/>
      <c r="C65" s="213"/>
      <c r="D65" s="213"/>
      <c r="E65" s="213"/>
      <c r="F65" s="213"/>
      <c r="G65" s="213"/>
      <c r="H65" s="213"/>
      <c r="I65" s="213"/>
      <c r="K65" s="213"/>
      <c r="L65" s="213"/>
      <c r="M65" s="213"/>
      <c r="N65" s="213"/>
      <c r="O65" s="213"/>
      <c r="P65" s="213"/>
      <c r="Q65" s="213"/>
      <c r="AC65" s="424"/>
      <c r="AD65" s="424"/>
      <c r="AE65" s="424"/>
      <c r="AF65" s="424"/>
      <c r="AG65" s="564"/>
      <c r="AH65" s="564"/>
      <c r="AI65" s="564"/>
      <c r="AK65" s="81"/>
    </row>
    <row r="66" spans="2:37" s="49" customFormat="1" x14ac:dyDescent="0.35">
      <c r="B66" s="213"/>
      <c r="C66" s="213"/>
      <c r="D66" s="213"/>
      <c r="E66" s="213"/>
      <c r="F66" s="213"/>
      <c r="G66" s="213"/>
      <c r="H66" s="213"/>
      <c r="I66" s="213"/>
      <c r="K66" s="213"/>
      <c r="L66" s="213"/>
      <c r="M66" s="213"/>
      <c r="N66" s="213"/>
      <c r="O66" s="213"/>
      <c r="P66" s="213"/>
      <c r="Q66" s="213"/>
      <c r="AC66" s="424"/>
      <c r="AD66" s="424"/>
      <c r="AE66" s="424"/>
      <c r="AF66" s="424"/>
      <c r="AG66" s="564"/>
      <c r="AH66" s="564"/>
      <c r="AI66" s="564"/>
      <c r="AK66" s="81"/>
    </row>
    <row r="67" spans="2:37" s="49" customFormat="1" x14ac:dyDescent="0.35">
      <c r="B67" s="213"/>
      <c r="C67" s="213"/>
      <c r="D67" s="213"/>
      <c r="E67" s="213"/>
      <c r="F67" s="213"/>
      <c r="G67" s="213"/>
      <c r="H67" s="213"/>
      <c r="I67" s="213"/>
      <c r="K67" s="213"/>
      <c r="L67" s="213"/>
      <c r="M67" s="213"/>
      <c r="N67" s="213"/>
      <c r="O67" s="213"/>
      <c r="P67" s="213"/>
      <c r="Q67" s="213"/>
      <c r="AC67" s="424"/>
      <c r="AD67" s="424"/>
      <c r="AE67" s="424"/>
      <c r="AF67" s="424"/>
      <c r="AG67" s="564"/>
      <c r="AH67" s="564"/>
      <c r="AI67" s="564"/>
      <c r="AK67" s="81"/>
    </row>
    <row r="68" spans="2:37" s="49" customFormat="1" x14ac:dyDescent="0.35">
      <c r="AC68" s="424"/>
      <c r="AD68" s="424"/>
      <c r="AE68" s="424"/>
      <c r="AF68" s="424"/>
      <c r="AG68" s="564"/>
      <c r="AH68" s="564"/>
      <c r="AI68" s="564"/>
      <c r="AK68" s="81"/>
    </row>
    <row r="69" spans="2:37" s="49" customFormat="1" x14ac:dyDescent="0.35">
      <c r="AC69" s="424"/>
      <c r="AD69" s="424"/>
      <c r="AE69" s="424"/>
      <c r="AF69" s="424"/>
      <c r="AG69" s="564"/>
      <c r="AH69" s="564"/>
      <c r="AI69" s="564"/>
      <c r="AK69" s="81"/>
    </row>
    <row r="70" spans="2:37" s="49" customFormat="1" x14ac:dyDescent="0.35">
      <c r="AC70" s="424"/>
      <c r="AD70" s="424"/>
      <c r="AE70" s="424"/>
      <c r="AF70" s="424"/>
      <c r="AG70" s="564"/>
      <c r="AH70" s="564"/>
      <c r="AI70" s="564"/>
      <c r="AK70" s="81"/>
    </row>
    <row r="71" spans="2:37" s="49" customFormat="1" x14ac:dyDescent="0.35">
      <c r="AC71" s="424"/>
      <c r="AD71" s="424"/>
      <c r="AE71" s="424"/>
      <c r="AF71" s="424"/>
      <c r="AG71" s="564"/>
      <c r="AH71" s="564"/>
      <c r="AI71" s="564"/>
      <c r="AK71" s="81"/>
    </row>
    <row r="72" spans="2:37" s="49" customFormat="1" x14ac:dyDescent="0.35">
      <c r="AC72" s="424"/>
      <c r="AD72" s="424"/>
      <c r="AE72" s="424"/>
      <c r="AF72" s="424"/>
      <c r="AG72" s="564"/>
      <c r="AH72" s="564"/>
      <c r="AI72" s="564"/>
      <c r="AK72" s="81"/>
    </row>
    <row r="73" spans="2:37" s="49" customFormat="1" x14ac:dyDescent="0.35">
      <c r="AC73" s="424"/>
      <c r="AD73" s="424"/>
      <c r="AE73" s="424"/>
      <c r="AF73" s="424"/>
      <c r="AG73" s="564"/>
      <c r="AH73" s="564"/>
      <c r="AI73" s="564"/>
      <c r="AK73" s="81"/>
    </row>
    <row r="74" spans="2:37" s="49" customFormat="1" x14ac:dyDescent="0.35">
      <c r="AC74" s="424"/>
      <c r="AD74" s="424"/>
      <c r="AE74" s="424"/>
      <c r="AF74" s="424"/>
      <c r="AG74" s="564"/>
      <c r="AH74" s="564"/>
      <c r="AI74" s="564"/>
      <c r="AK74" s="81"/>
    </row>
    <row r="75" spans="2:37" s="49" customFormat="1" x14ac:dyDescent="0.35">
      <c r="AC75" s="424"/>
      <c r="AD75" s="424"/>
      <c r="AE75" s="424"/>
      <c r="AF75" s="424"/>
      <c r="AG75" s="564"/>
      <c r="AH75" s="564"/>
      <c r="AI75" s="564"/>
      <c r="AK75" s="81"/>
    </row>
    <row r="76" spans="2:37" s="49" customFormat="1" x14ac:dyDescent="0.35">
      <c r="AC76" s="424"/>
      <c r="AD76" s="424"/>
      <c r="AE76" s="424"/>
      <c r="AF76" s="424"/>
      <c r="AG76" s="564"/>
      <c r="AH76" s="564"/>
      <c r="AI76" s="564"/>
      <c r="AK76" s="81"/>
    </row>
    <row r="77" spans="2:37" s="49" customFormat="1" x14ac:dyDescent="0.35">
      <c r="AC77" s="424"/>
      <c r="AD77" s="424"/>
      <c r="AE77" s="424"/>
      <c r="AF77" s="424"/>
      <c r="AG77" s="564"/>
      <c r="AH77" s="564"/>
      <c r="AI77" s="564"/>
      <c r="AK77" s="81"/>
    </row>
    <row r="78" spans="2:37" s="49" customFormat="1" x14ac:dyDescent="0.35">
      <c r="W78" s="212"/>
      <c r="X78" s="212"/>
      <c r="Y78" s="212"/>
      <c r="Z78" s="212"/>
      <c r="AA78" s="212"/>
      <c r="AC78" s="424"/>
      <c r="AD78" s="424"/>
      <c r="AE78" s="424"/>
      <c r="AF78" s="424"/>
      <c r="AG78" s="564"/>
      <c r="AH78" s="564"/>
      <c r="AI78" s="564"/>
      <c r="AK78" s="81"/>
    </row>
    <row r="79" spans="2:37" s="49" customFormat="1" x14ac:dyDescent="0.35">
      <c r="W79" s="213"/>
      <c r="X79" s="213"/>
      <c r="Y79" s="213"/>
      <c r="Z79" s="213"/>
      <c r="AA79" s="213"/>
      <c r="AC79" s="424"/>
      <c r="AD79" s="424"/>
      <c r="AE79" s="424"/>
      <c r="AF79" s="424"/>
      <c r="AG79" s="564"/>
      <c r="AH79" s="564"/>
      <c r="AI79" s="564"/>
      <c r="AK79" s="81"/>
    </row>
    <row r="80" spans="2:37" s="49" customFormat="1" x14ac:dyDescent="0.35">
      <c r="W80" s="213"/>
      <c r="X80" s="213"/>
      <c r="Y80" s="213"/>
      <c r="Z80" s="213"/>
      <c r="AA80" s="213"/>
      <c r="AC80" s="424"/>
      <c r="AD80" s="424"/>
      <c r="AE80" s="424"/>
      <c r="AF80" s="424"/>
      <c r="AG80" s="564"/>
      <c r="AH80" s="564"/>
      <c r="AI80" s="564"/>
      <c r="AK80" s="81"/>
    </row>
    <row r="81" spans="23:37" s="49" customFormat="1" x14ac:dyDescent="0.35">
      <c r="W81" s="213"/>
      <c r="X81" s="213"/>
      <c r="Y81" s="213"/>
      <c r="Z81" s="213"/>
      <c r="AA81" s="213"/>
      <c r="AC81" s="424"/>
      <c r="AD81" s="424"/>
      <c r="AE81" s="424"/>
      <c r="AF81" s="424"/>
      <c r="AG81" s="564"/>
      <c r="AH81" s="564"/>
      <c r="AI81" s="564"/>
      <c r="AK81" s="81"/>
    </row>
    <row r="82" spans="23:37" s="49" customFormat="1" x14ac:dyDescent="0.35">
      <c r="W82" s="213"/>
      <c r="X82" s="213"/>
      <c r="Y82" s="213"/>
      <c r="Z82" s="213"/>
      <c r="AA82" s="213"/>
      <c r="AC82" s="424"/>
      <c r="AD82" s="424"/>
      <c r="AE82" s="424"/>
      <c r="AF82" s="424"/>
      <c r="AG82" s="564"/>
      <c r="AH82" s="564"/>
      <c r="AI82" s="564"/>
      <c r="AK82" s="81"/>
    </row>
    <row r="83" spans="23:37" s="49" customFormat="1" x14ac:dyDescent="0.35">
      <c r="W83" s="213"/>
      <c r="X83" s="213"/>
      <c r="Y83" s="213"/>
      <c r="Z83" s="213"/>
      <c r="AA83" s="213"/>
      <c r="AC83" s="424"/>
      <c r="AD83" s="424"/>
      <c r="AE83" s="424"/>
      <c r="AF83" s="424"/>
      <c r="AG83" s="564"/>
      <c r="AH83" s="564"/>
      <c r="AI83" s="564"/>
      <c r="AK83" s="81"/>
    </row>
    <row r="84" spans="23:37" s="49" customFormat="1" x14ac:dyDescent="0.35">
      <c r="AC84" s="424"/>
      <c r="AD84" s="424"/>
      <c r="AE84" s="424"/>
      <c r="AF84" s="424"/>
      <c r="AG84" s="564"/>
      <c r="AH84" s="564"/>
      <c r="AI84" s="564"/>
      <c r="AK84" s="81"/>
    </row>
    <row r="85" spans="23:37" s="49" customFormat="1" x14ac:dyDescent="0.35">
      <c r="AC85" s="424"/>
      <c r="AD85" s="424"/>
      <c r="AE85" s="424"/>
      <c r="AF85" s="424"/>
      <c r="AG85" s="564"/>
      <c r="AH85" s="564"/>
      <c r="AI85" s="564"/>
      <c r="AK85" s="81"/>
    </row>
    <row r="86" spans="23:37" s="49" customFormat="1" x14ac:dyDescent="0.35">
      <c r="AC86" s="424"/>
      <c r="AD86" s="424"/>
      <c r="AE86" s="424"/>
      <c r="AF86" s="424"/>
      <c r="AG86" s="564"/>
      <c r="AH86" s="564"/>
      <c r="AI86" s="564"/>
      <c r="AK86" s="81"/>
    </row>
    <row r="87" spans="23:37" s="49" customFormat="1" x14ac:dyDescent="0.35">
      <c r="AC87" s="424"/>
      <c r="AD87" s="424"/>
      <c r="AE87" s="424"/>
      <c r="AF87" s="424"/>
      <c r="AG87" s="564"/>
      <c r="AH87" s="564"/>
      <c r="AI87" s="564"/>
      <c r="AK87" s="81"/>
    </row>
    <row r="88" spans="23:37" s="49" customFormat="1" x14ac:dyDescent="0.35">
      <c r="AC88" s="424"/>
      <c r="AD88" s="424"/>
      <c r="AE88" s="424"/>
      <c r="AF88" s="424"/>
      <c r="AG88" s="564"/>
      <c r="AH88" s="564"/>
      <c r="AI88" s="564"/>
      <c r="AK88" s="81"/>
    </row>
    <row r="89" spans="23:37" s="49" customFormat="1" x14ac:dyDescent="0.35">
      <c r="AC89" s="424"/>
      <c r="AD89" s="424"/>
      <c r="AE89" s="424"/>
      <c r="AF89" s="424"/>
      <c r="AG89" s="564"/>
      <c r="AH89" s="564"/>
      <c r="AI89" s="564"/>
      <c r="AK89" s="81"/>
    </row>
    <row r="90" spans="23:37" s="49" customFormat="1" x14ac:dyDescent="0.35">
      <c r="AC90" s="424"/>
      <c r="AD90" s="424"/>
      <c r="AE90" s="424"/>
      <c r="AF90" s="424"/>
      <c r="AG90" s="564"/>
      <c r="AH90" s="564"/>
      <c r="AI90" s="564"/>
      <c r="AK90" s="81"/>
    </row>
    <row r="91" spans="23:37" s="49" customFormat="1" x14ac:dyDescent="0.35">
      <c r="AC91" s="424"/>
      <c r="AD91" s="424"/>
      <c r="AE91" s="424"/>
      <c r="AF91" s="424"/>
      <c r="AG91" s="564"/>
      <c r="AH91" s="564"/>
      <c r="AI91" s="564"/>
      <c r="AK91" s="81"/>
    </row>
    <row r="92" spans="23:37" s="49" customFormat="1" x14ac:dyDescent="0.35">
      <c r="AC92" s="424"/>
      <c r="AD92" s="424"/>
      <c r="AE92" s="424"/>
      <c r="AF92" s="424"/>
      <c r="AG92" s="564"/>
      <c r="AH92" s="564"/>
      <c r="AI92" s="564"/>
      <c r="AK92" s="81"/>
    </row>
    <row r="93" spans="23:37" s="49" customFormat="1" x14ac:dyDescent="0.35">
      <c r="AC93" s="424"/>
      <c r="AD93" s="424"/>
      <c r="AE93" s="424"/>
      <c r="AF93" s="424"/>
      <c r="AG93" s="564"/>
      <c r="AH93" s="564"/>
      <c r="AI93" s="564"/>
      <c r="AK93" s="81"/>
    </row>
    <row r="94" spans="23:37" s="49" customFormat="1" x14ac:dyDescent="0.35">
      <c r="AC94" s="424"/>
      <c r="AD94" s="424"/>
      <c r="AE94" s="424"/>
      <c r="AF94" s="424"/>
      <c r="AG94" s="564"/>
      <c r="AH94" s="564"/>
      <c r="AI94" s="564"/>
      <c r="AK94" s="81"/>
    </row>
    <row r="95" spans="23:37" s="49" customFormat="1" x14ac:dyDescent="0.35">
      <c r="AC95" s="424"/>
      <c r="AD95" s="424"/>
      <c r="AE95" s="424"/>
      <c r="AF95" s="424"/>
      <c r="AG95" s="564"/>
      <c r="AH95" s="564"/>
      <c r="AI95" s="564"/>
      <c r="AK95" s="81"/>
    </row>
    <row r="96" spans="23:37" s="49" customFormat="1" x14ac:dyDescent="0.35">
      <c r="AC96" s="424"/>
      <c r="AD96" s="424"/>
      <c r="AE96" s="424"/>
      <c r="AF96" s="424"/>
      <c r="AG96" s="564"/>
      <c r="AH96" s="564"/>
      <c r="AI96" s="564"/>
      <c r="AK96" s="81"/>
    </row>
    <row r="97" spans="29:37" s="49" customFormat="1" x14ac:dyDescent="0.35">
      <c r="AC97" s="424"/>
      <c r="AD97" s="424"/>
      <c r="AE97" s="424"/>
      <c r="AF97" s="424"/>
      <c r="AG97" s="564"/>
      <c r="AH97" s="564"/>
      <c r="AI97" s="564"/>
      <c r="AK97" s="81"/>
    </row>
    <row r="98" spans="29:37" s="49" customFormat="1" x14ac:dyDescent="0.35">
      <c r="AC98" s="424"/>
      <c r="AD98" s="424"/>
      <c r="AE98" s="424"/>
      <c r="AF98" s="424"/>
      <c r="AG98" s="564"/>
      <c r="AH98" s="564"/>
      <c r="AI98" s="564"/>
      <c r="AK98" s="81"/>
    </row>
    <row r="99" spans="29:37" s="49" customFormat="1" x14ac:dyDescent="0.35">
      <c r="AC99" s="424"/>
      <c r="AD99" s="424"/>
      <c r="AE99" s="424"/>
      <c r="AF99" s="424"/>
      <c r="AG99" s="564"/>
      <c r="AH99" s="564"/>
      <c r="AI99" s="564"/>
      <c r="AK99" s="81"/>
    </row>
    <row r="100" spans="29:37" s="49" customFormat="1" x14ac:dyDescent="0.35">
      <c r="AC100" s="424"/>
      <c r="AD100" s="424"/>
      <c r="AE100" s="424"/>
      <c r="AF100" s="424"/>
      <c r="AG100" s="564"/>
      <c r="AH100" s="564"/>
      <c r="AI100" s="564"/>
      <c r="AK100" s="81"/>
    </row>
    <row r="101" spans="29:37" s="49" customFormat="1" x14ac:dyDescent="0.35">
      <c r="AC101" s="424"/>
      <c r="AD101" s="424"/>
      <c r="AE101" s="424"/>
      <c r="AF101" s="424"/>
      <c r="AG101" s="564"/>
      <c r="AH101" s="564"/>
      <c r="AI101" s="564"/>
      <c r="AK101" s="81"/>
    </row>
    <row r="102" spans="29:37" s="49" customFormat="1" x14ac:dyDescent="0.35">
      <c r="AC102" s="424"/>
      <c r="AD102" s="424"/>
      <c r="AE102" s="424"/>
      <c r="AF102" s="424"/>
      <c r="AG102" s="564"/>
      <c r="AH102" s="564"/>
      <c r="AI102" s="564"/>
      <c r="AK102" s="81"/>
    </row>
    <row r="103" spans="29:37" s="49" customFormat="1" x14ac:dyDescent="0.35">
      <c r="AC103" s="424"/>
      <c r="AD103" s="424"/>
      <c r="AE103" s="424"/>
      <c r="AF103" s="424"/>
      <c r="AG103" s="564"/>
      <c r="AH103" s="564"/>
      <c r="AI103" s="564"/>
      <c r="AK103" s="81"/>
    </row>
    <row r="104" spans="29:37" s="49" customFormat="1" x14ac:dyDescent="0.35">
      <c r="AC104" s="424"/>
      <c r="AD104" s="424"/>
      <c r="AE104" s="424"/>
      <c r="AF104" s="424"/>
      <c r="AG104" s="564"/>
      <c r="AH104" s="564"/>
      <c r="AI104" s="564"/>
      <c r="AK104" s="81"/>
    </row>
    <row r="105" spans="29:37" s="49" customFormat="1" x14ac:dyDescent="0.35">
      <c r="AC105" s="424"/>
      <c r="AD105" s="424"/>
      <c r="AE105" s="424"/>
      <c r="AF105" s="424"/>
      <c r="AG105" s="564"/>
      <c r="AH105" s="564"/>
      <c r="AI105" s="564"/>
      <c r="AK105" s="81"/>
    </row>
    <row r="106" spans="29:37" s="49" customFormat="1" x14ac:dyDescent="0.35">
      <c r="AC106" s="424"/>
      <c r="AD106" s="424"/>
      <c r="AE106" s="424"/>
      <c r="AF106" s="424"/>
      <c r="AG106" s="564"/>
      <c r="AH106" s="564"/>
      <c r="AI106" s="564"/>
      <c r="AK106" s="81"/>
    </row>
    <row r="107" spans="29:37" s="49" customFormat="1" x14ac:dyDescent="0.35">
      <c r="AC107" s="424"/>
      <c r="AD107" s="424"/>
      <c r="AE107" s="424"/>
      <c r="AF107" s="424"/>
      <c r="AG107" s="564"/>
      <c r="AH107" s="564"/>
      <c r="AI107" s="564"/>
      <c r="AK107" s="81"/>
    </row>
    <row r="108" spans="29:37" s="49" customFormat="1" x14ac:dyDescent="0.35">
      <c r="AC108" s="424"/>
      <c r="AD108" s="424"/>
      <c r="AE108" s="424"/>
      <c r="AF108" s="424"/>
      <c r="AG108" s="564"/>
      <c r="AH108" s="564"/>
      <c r="AI108" s="564"/>
      <c r="AK108" s="81"/>
    </row>
    <row r="109" spans="29:37" s="49" customFormat="1" x14ac:dyDescent="0.35">
      <c r="AC109" s="424"/>
      <c r="AD109" s="424"/>
      <c r="AE109" s="424"/>
      <c r="AF109" s="424"/>
      <c r="AG109" s="564"/>
      <c r="AH109" s="564"/>
      <c r="AI109" s="564"/>
      <c r="AK109" s="81"/>
    </row>
    <row r="110" spans="29:37" s="49" customFormat="1" x14ac:dyDescent="0.35">
      <c r="AC110" s="424"/>
      <c r="AD110" s="424"/>
      <c r="AE110" s="424"/>
      <c r="AF110" s="424"/>
      <c r="AG110" s="564"/>
      <c r="AH110" s="564"/>
      <c r="AI110" s="564"/>
      <c r="AK110" s="81"/>
    </row>
    <row r="111" spans="29:37" s="49" customFormat="1" x14ac:dyDescent="0.35">
      <c r="AC111" s="424"/>
      <c r="AD111" s="424"/>
      <c r="AE111" s="424"/>
      <c r="AF111" s="424"/>
      <c r="AG111" s="564"/>
      <c r="AH111" s="564"/>
      <c r="AI111" s="564"/>
      <c r="AK111" s="81"/>
    </row>
    <row r="112" spans="29:37" s="49" customFormat="1" x14ac:dyDescent="0.35">
      <c r="AC112" s="424"/>
      <c r="AD112" s="424"/>
      <c r="AE112" s="424"/>
      <c r="AF112" s="424"/>
      <c r="AG112" s="564"/>
      <c r="AH112" s="564"/>
      <c r="AI112" s="564"/>
      <c r="AK112" s="81"/>
    </row>
    <row r="113" spans="29:38" s="49" customFormat="1" x14ac:dyDescent="0.35">
      <c r="AC113" s="424"/>
      <c r="AD113" s="424"/>
      <c r="AE113" s="424"/>
      <c r="AF113" s="424"/>
      <c r="AG113" s="564"/>
      <c r="AH113" s="564"/>
      <c r="AI113" s="564"/>
      <c r="AK113" s="81"/>
    </row>
    <row r="114" spans="29:38" s="49" customFormat="1" x14ac:dyDescent="0.35">
      <c r="AC114" s="424"/>
      <c r="AD114" s="424"/>
      <c r="AE114" s="424"/>
      <c r="AF114" s="424"/>
      <c r="AG114" s="564"/>
      <c r="AH114" s="564"/>
      <c r="AI114" s="564"/>
      <c r="AK114" s="81"/>
    </row>
    <row r="115" spans="29:38" s="49" customFormat="1" x14ac:dyDescent="0.35">
      <c r="AC115" s="424"/>
      <c r="AD115" s="424"/>
      <c r="AE115" s="424"/>
      <c r="AF115" s="424"/>
      <c r="AG115" s="564"/>
      <c r="AH115" s="564"/>
      <c r="AI115" s="564"/>
      <c r="AK115" s="81"/>
    </row>
    <row r="116" spans="29:38" s="49" customFormat="1" x14ac:dyDescent="0.35">
      <c r="AC116" s="424"/>
      <c r="AD116" s="424"/>
      <c r="AE116" s="424"/>
      <c r="AF116" s="424"/>
      <c r="AG116" s="564"/>
      <c r="AH116" s="564"/>
      <c r="AI116" s="564"/>
      <c r="AK116" s="81"/>
    </row>
    <row r="117" spans="29:38" s="49" customFormat="1" x14ac:dyDescent="0.35">
      <c r="AC117" s="424"/>
      <c r="AD117" s="424"/>
      <c r="AE117" s="424"/>
      <c r="AF117" s="424"/>
      <c r="AG117" s="564"/>
      <c r="AH117" s="564"/>
      <c r="AI117" s="564"/>
      <c r="AK117" s="81"/>
    </row>
    <row r="118" spans="29:38" s="49" customFormat="1" x14ac:dyDescent="0.35">
      <c r="AC118" s="424"/>
      <c r="AD118" s="424"/>
      <c r="AE118" s="424"/>
      <c r="AF118" s="424"/>
      <c r="AG118" s="564"/>
      <c r="AH118" s="564"/>
      <c r="AI118" s="564"/>
      <c r="AK118" s="81"/>
    </row>
    <row r="119" spans="29:38" s="49" customFormat="1" x14ac:dyDescent="0.35">
      <c r="AC119" s="424"/>
      <c r="AD119" s="424"/>
      <c r="AE119" s="424"/>
      <c r="AF119" s="424"/>
      <c r="AG119" s="564"/>
      <c r="AH119" s="564"/>
      <c r="AI119" s="564"/>
      <c r="AK119" s="81"/>
    </row>
    <row r="120" spans="29:38" s="49" customFormat="1" x14ac:dyDescent="0.35">
      <c r="AC120" s="424"/>
      <c r="AD120" s="424"/>
      <c r="AE120" s="424"/>
      <c r="AF120" s="424"/>
      <c r="AG120" s="564"/>
      <c r="AH120" s="564"/>
      <c r="AI120" s="564"/>
      <c r="AK120" s="81"/>
    </row>
    <row r="121" spans="29:38" s="49" customFormat="1" x14ac:dyDescent="0.35">
      <c r="AC121" s="424"/>
      <c r="AD121" s="424"/>
      <c r="AE121" s="424"/>
      <c r="AF121" s="424"/>
      <c r="AG121" s="564"/>
      <c r="AH121" s="564"/>
      <c r="AI121" s="564"/>
      <c r="AK121" s="81"/>
    </row>
    <row r="122" spans="29:38" s="49" customFormat="1" x14ac:dyDescent="0.35">
      <c r="AC122" s="424"/>
      <c r="AD122" s="424"/>
      <c r="AE122" s="424"/>
      <c r="AF122" s="424"/>
      <c r="AG122" s="564"/>
      <c r="AH122" s="564"/>
      <c r="AI122" s="564"/>
      <c r="AK122" s="81"/>
    </row>
    <row r="123" spans="29:38" s="49" customFormat="1" x14ac:dyDescent="0.35">
      <c r="AC123" s="424"/>
      <c r="AD123" s="424"/>
      <c r="AE123" s="424"/>
      <c r="AF123" s="424"/>
      <c r="AG123" s="564"/>
      <c r="AH123" s="564"/>
      <c r="AI123" s="564"/>
      <c r="AK123" s="46"/>
      <c r="AL123" s="44"/>
    </row>
    <row r="124" spans="29:38" s="49" customFormat="1" x14ac:dyDescent="0.35">
      <c r="AC124" s="424"/>
      <c r="AD124" s="424"/>
      <c r="AE124" s="424"/>
      <c r="AF124" s="424"/>
      <c r="AG124" s="564"/>
      <c r="AH124" s="564"/>
      <c r="AI124" s="564"/>
      <c r="AK124" s="46"/>
      <c r="AL124" s="44"/>
    </row>
    <row r="125" spans="29:38" s="49" customFormat="1" x14ac:dyDescent="0.35">
      <c r="AC125" s="424"/>
      <c r="AD125" s="424"/>
      <c r="AE125" s="424"/>
      <c r="AF125" s="424"/>
      <c r="AG125" s="564"/>
      <c r="AH125" s="564"/>
      <c r="AI125" s="564"/>
      <c r="AK125" s="46"/>
      <c r="AL125" s="44"/>
    </row>
    <row r="126" spans="29:38" s="49" customFormat="1" x14ac:dyDescent="0.35">
      <c r="AC126" s="424"/>
      <c r="AD126" s="424"/>
      <c r="AE126" s="424"/>
      <c r="AF126" s="424"/>
      <c r="AG126" s="564"/>
      <c r="AH126" s="564"/>
      <c r="AI126" s="564"/>
      <c r="AK126" s="46"/>
      <c r="AL126" s="44"/>
    </row>
    <row r="127" spans="29:38" s="49" customFormat="1" x14ac:dyDescent="0.35">
      <c r="AC127" s="424"/>
      <c r="AD127" s="424"/>
      <c r="AE127" s="424"/>
      <c r="AF127" s="424"/>
      <c r="AG127" s="564"/>
      <c r="AH127" s="564"/>
      <c r="AI127" s="564"/>
      <c r="AK127" s="46"/>
      <c r="AL127" s="44"/>
    </row>
    <row r="128" spans="29:38" s="49" customFormat="1" x14ac:dyDescent="0.35">
      <c r="AC128" s="424"/>
      <c r="AD128" s="424"/>
      <c r="AE128" s="424"/>
      <c r="AF128" s="424"/>
      <c r="AG128" s="564"/>
      <c r="AH128" s="564"/>
      <c r="AI128" s="564"/>
      <c r="AK128" s="46"/>
      <c r="AL128" s="44"/>
    </row>
    <row r="129" spans="2:40" s="49" customFormat="1" x14ac:dyDescent="0.35">
      <c r="AC129" s="424"/>
      <c r="AD129" s="424"/>
      <c r="AE129" s="424"/>
      <c r="AF129" s="424"/>
      <c r="AG129" s="564"/>
      <c r="AH129" s="564"/>
      <c r="AI129" s="564"/>
      <c r="AK129" s="46"/>
      <c r="AL129" s="44"/>
    </row>
    <row r="130" spans="2:40" s="49" customFormat="1" x14ac:dyDescent="0.35">
      <c r="AC130" s="424"/>
      <c r="AD130" s="424"/>
      <c r="AE130" s="424"/>
      <c r="AF130" s="424"/>
      <c r="AG130" s="564"/>
      <c r="AH130" s="564"/>
      <c r="AI130" s="564"/>
      <c r="AK130" s="46"/>
      <c r="AL130" s="44"/>
    </row>
    <row r="131" spans="2:40" x14ac:dyDescent="0.35">
      <c r="B131" s="49"/>
      <c r="C131" s="49"/>
      <c r="D131" s="49"/>
      <c r="E131" s="49"/>
      <c r="F131" s="49"/>
      <c r="G131" s="49"/>
      <c r="H131" s="49"/>
      <c r="I131" s="49"/>
      <c r="K131" s="49"/>
      <c r="L131" s="49"/>
      <c r="M131" s="49"/>
      <c r="N131" s="49"/>
      <c r="O131" s="49"/>
      <c r="P131" s="49"/>
      <c r="Q131" s="49"/>
      <c r="S131" s="49"/>
      <c r="T131" s="49"/>
      <c r="U131" s="49"/>
      <c r="V131" s="49"/>
      <c r="W131" s="49"/>
      <c r="X131" s="49"/>
      <c r="Y131" s="49"/>
      <c r="Z131" s="49"/>
      <c r="AA131" s="49"/>
      <c r="AN131" s="49"/>
    </row>
    <row r="132" spans="2:40" x14ac:dyDescent="0.35">
      <c r="B132" s="49"/>
      <c r="C132" s="49"/>
      <c r="D132" s="49"/>
      <c r="E132" s="49"/>
      <c r="F132" s="49"/>
      <c r="G132" s="49"/>
      <c r="H132" s="49"/>
      <c r="I132" s="49"/>
      <c r="K132" s="49"/>
      <c r="L132" s="49"/>
      <c r="M132" s="49"/>
      <c r="N132" s="49"/>
      <c r="O132" s="49"/>
      <c r="P132" s="49"/>
      <c r="Q132" s="49"/>
      <c r="S132" s="49"/>
      <c r="T132" s="49"/>
      <c r="U132" s="49"/>
      <c r="V132" s="49"/>
      <c r="W132" s="49"/>
      <c r="X132" s="49"/>
      <c r="Y132" s="49"/>
      <c r="Z132" s="49"/>
      <c r="AA132" s="49"/>
    </row>
    <row r="133" spans="2:40" x14ac:dyDescent="0.35">
      <c r="B133" s="49"/>
      <c r="C133" s="49"/>
      <c r="D133" s="49"/>
      <c r="E133" s="49"/>
      <c r="F133" s="49"/>
      <c r="G133" s="49"/>
      <c r="H133" s="49"/>
      <c r="I133" s="49"/>
    </row>
  </sheetData>
  <sheetProtection algorithmName="SHA-512" hashValue="F/6xlAs+phgZQl87NZb71RHe7Py9/P/I1a5YvXSxyEUNixRQWbzdmCH1UPK6KFEIDVF7SMcztoQu6NH7CfAjDA==" saltValue="olHIyZbtAMnEbYhk/5hZUQ==" spinCount="100000" sheet="1" objects="1" scenarios="1"/>
  <mergeCells count="14">
    <mergeCell ref="K23:L23"/>
    <mergeCell ref="K24:L24"/>
    <mergeCell ref="K25:L25"/>
    <mergeCell ref="K26:L26"/>
    <mergeCell ref="C9:D9"/>
    <mergeCell ref="C10:D10"/>
    <mergeCell ref="C11:D11"/>
    <mergeCell ref="K21:L21"/>
    <mergeCell ref="K22:L22"/>
    <mergeCell ref="C7:D7"/>
    <mergeCell ref="AA3:AA6"/>
    <mergeCell ref="C5:D5"/>
    <mergeCell ref="C6:D6"/>
    <mergeCell ref="C8:D8"/>
  </mergeCells>
  <conditionalFormatting sqref="W41">
    <cfRule type="top10" dxfId="773" priority="234" rank="4"/>
  </conditionalFormatting>
  <conditionalFormatting sqref="H5:H11">
    <cfRule type="dataBar" priority="210">
      <dataBar>
        <cfvo type="min"/>
        <cfvo type="max"/>
        <color rgb="FF63C384"/>
      </dataBar>
      <extLst>
        <ext xmlns:x14="http://schemas.microsoft.com/office/spreadsheetml/2009/9/main" uri="{B025F937-C7B1-47D3-B67F-A62EFF666E3E}">
          <x14:id>{7D36D8D9-3B6A-47D6-BA22-3AE44E1DC081}</x14:id>
        </ext>
      </extLst>
    </cfRule>
  </conditionalFormatting>
  <conditionalFormatting sqref="X15:X28 X31:X32 X36:X40">
    <cfRule type="dataBar" priority="204">
      <dataBar>
        <cfvo type="min"/>
        <cfvo type="max"/>
        <color rgb="FF638EC6"/>
      </dataBar>
      <extLst>
        <ext xmlns:x14="http://schemas.microsoft.com/office/spreadsheetml/2009/9/main" uri="{B025F937-C7B1-47D3-B67F-A62EFF666E3E}">
          <x14:id>{F0F0074F-BD7C-419F-B465-37CD2B21C329}</x14:id>
        </ext>
      </extLst>
    </cfRule>
  </conditionalFormatting>
  <conditionalFormatting sqref="Y41">
    <cfRule type="top10" dxfId="772" priority="203" rank="4"/>
  </conditionalFormatting>
  <conditionalFormatting sqref="Z15:Z28 Z31:Z32 Z36:Z40">
    <cfRule type="dataBar" priority="188">
      <dataBar>
        <cfvo type="min"/>
        <cfvo type="max"/>
        <color rgb="FF638EC6"/>
      </dataBar>
      <extLst>
        <ext xmlns:x14="http://schemas.microsoft.com/office/spreadsheetml/2009/9/main" uri="{B025F937-C7B1-47D3-B67F-A62EFF666E3E}">
          <x14:id>{C69DACBB-D052-4814-9D06-8D4784A8B64F}</x14:id>
        </ext>
      </extLst>
    </cfRule>
  </conditionalFormatting>
  <conditionalFormatting sqref="AA41">
    <cfRule type="top10" dxfId="771" priority="187" rank="4"/>
  </conditionalFormatting>
  <conditionalFormatting sqref="AL29 AL33:AL34 AL41 AL43:AL45">
    <cfRule type="containsText" dxfId="770" priority="113" operator="containsText" text="suurem">
      <formula>NOT(ISERROR(SEARCH("suurem",AL29)))</formula>
    </cfRule>
  </conditionalFormatting>
  <conditionalFormatting sqref="AL29 AL33:AL34 AL41 AL43:AL45">
    <cfRule type="containsText" dxfId="769" priority="112" operator="containsText" text="pienempi">
      <formula>NOT(ISERROR(SEARCH("pienempi",AL29)))</formula>
    </cfRule>
  </conditionalFormatting>
  <conditionalFormatting sqref="AL14:AL42">
    <cfRule type="containsText" dxfId="768" priority="109" operator="containsText" text="pienemmät">
      <formula>NOT(ISERROR(SEARCH("pienemmät",AL14)))</formula>
    </cfRule>
  </conditionalFormatting>
  <conditionalFormatting sqref="AL15:AL24 AL27:AL28">
    <cfRule type="containsText" dxfId="767" priority="108" operator="containsText" text="suurem">
      <formula>NOT(ISERROR(SEARCH("suurem",AL15)))</formula>
    </cfRule>
  </conditionalFormatting>
  <conditionalFormatting sqref="AL15:AL24 AL27:AL28">
    <cfRule type="containsText" dxfId="766" priority="107" operator="containsText" text="pienempi">
      <formula>NOT(ISERROR(SEARCH("pienempi",AL15)))</formula>
    </cfRule>
  </conditionalFormatting>
  <conditionalFormatting sqref="AL15:AL24 AL27:AL28">
    <cfRule type="containsText" dxfId="765" priority="106" operator="containsText" text="pienemmät">
      <formula>NOT(ISERROR(SEARCH("pienemmät",AL15)))</formula>
    </cfRule>
  </conditionalFormatting>
  <conditionalFormatting sqref="AL25">
    <cfRule type="containsText" dxfId="764" priority="105" operator="containsText" text="suurem">
      <formula>NOT(ISERROR(SEARCH("suurem",AL25)))</formula>
    </cfRule>
  </conditionalFormatting>
  <conditionalFormatting sqref="AL25">
    <cfRule type="containsText" dxfId="763" priority="104" operator="containsText" text="pienempi">
      <formula>NOT(ISERROR(SEARCH("pienempi",AL25)))</formula>
    </cfRule>
  </conditionalFormatting>
  <conditionalFormatting sqref="AL25">
    <cfRule type="containsText" dxfId="762" priority="103" operator="containsText" text="pienemmät">
      <formula>NOT(ISERROR(SEARCH("pienemmät",AL25)))</formula>
    </cfRule>
  </conditionalFormatting>
  <conditionalFormatting sqref="AL26">
    <cfRule type="containsText" dxfId="761" priority="102" operator="containsText" text="suurem">
      <formula>NOT(ISERROR(SEARCH("suurem",AL26)))</formula>
    </cfRule>
  </conditionalFormatting>
  <conditionalFormatting sqref="AL26">
    <cfRule type="containsText" dxfId="760" priority="101" operator="containsText" text="pienempi">
      <formula>NOT(ISERROR(SEARCH("pienempi",AL26)))</formula>
    </cfRule>
  </conditionalFormatting>
  <conditionalFormatting sqref="AL26">
    <cfRule type="containsText" dxfId="759" priority="100" operator="containsText" text="pienemmät">
      <formula>NOT(ISERROR(SEARCH("pienemmät",AL26)))</formula>
    </cfRule>
  </conditionalFormatting>
  <conditionalFormatting sqref="A1:AB2 A68:AB68 A4:R4 P5:R10 A6:N6 P12:AB13 A5:M5 P15:U37 P14 R14:U14 M40:N40 P39:U40 P38 R38:U38 X14:X40 J39:L39 J40:K40 A39:A67 J41:AB42 A78:AB1048576 V9:AB9 AM9:AN9 AM78:XFD1048576 AM12:XFD68 AM1:XFD2 A3 R3 A14 J14:L14 AO3:XFD11 A12:N12 A11:J11 A38:L38 N36:N39 A19:N34 A15:L18 A13:L13 N13 J44:AB67 J43:P43 R43:AB43 A9:N10 A7:K8 M7:N8 N15:N18 Z14:Z40 AB14:AB40 M35:N35 A35:J37">
    <cfRule type="cellIs" dxfId="758" priority="146" operator="lessThan">
      <formula>0</formula>
    </cfRule>
  </conditionalFormatting>
  <conditionalFormatting sqref="AB3:AB8 V6:AA7 V10:AB10 AM10:AN10">
    <cfRule type="cellIs" dxfId="757" priority="145" operator="lessThan">
      <formula>0</formula>
    </cfRule>
  </conditionalFormatting>
  <conditionalFormatting sqref="S3 U3:AA3 V4:AA5 V8:AA8">
    <cfRule type="cellIs" dxfId="756" priority="144" operator="lessThan">
      <formula>0</formula>
    </cfRule>
  </conditionalFormatting>
  <conditionalFormatting sqref="AM3:AN8">
    <cfRule type="cellIs" dxfId="755" priority="142" operator="lessThan">
      <formula>0</formula>
    </cfRule>
  </conditionalFormatting>
  <conditionalFormatting sqref="O5:O10 O20:O26 O31:O34 O36:O40 O12 O29">
    <cfRule type="cellIs" dxfId="754" priority="141" operator="lessThan">
      <formula>0</formula>
    </cfRule>
  </conditionalFormatting>
  <conditionalFormatting sqref="N5">
    <cfRule type="cellIs" dxfId="753" priority="140" operator="lessThan">
      <formula>0</formula>
    </cfRule>
  </conditionalFormatting>
  <conditionalFormatting sqref="O13">
    <cfRule type="cellIs" dxfId="752" priority="139" operator="lessThan">
      <formula>0</formula>
    </cfRule>
  </conditionalFormatting>
  <conditionalFormatting sqref="O19">
    <cfRule type="cellIs" dxfId="751" priority="138" operator="lessThan">
      <formula>0</formula>
    </cfRule>
  </conditionalFormatting>
  <conditionalFormatting sqref="O30">
    <cfRule type="cellIs" dxfId="750" priority="137" operator="lessThan">
      <formula>0</formula>
    </cfRule>
  </conditionalFormatting>
  <conditionalFormatting sqref="O35">
    <cfRule type="cellIs" dxfId="749" priority="136" operator="lessThan">
      <formula>0</formula>
    </cfRule>
  </conditionalFormatting>
  <conditionalFormatting sqref="Q14">
    <cfRule type="cellIs" dxfId="748" priority="135" operator="lessThan">
      <formula>0</formula>
    </cfRule>
  </conditionalFormatting>
  <conditionalFormatting sqref="L40">
    <cfRule type="cellIs" dxfId="747" priority="134" operator="lessThan">
      <formula>0</formula>
    </cfRule>
  </conditionalFormatting>
  <conditionalFormatting sqref="Q38">
    <cfRule type="cellIs" dxfId="746" priority="133" operator="lessThan">
      <formula>0</formula>
    </cfRule>
  </conditionalFormatting>
  <conditionalFormatting sqref="M38:M39">
    <cfRule type="cellIs" dxfId="745" priority="132" operator="lessThan">
      <formula>0</formula>
    </cfRule>
  </conditionalFormatting>
  <conditionalFormatting sqref="W15:W28">
    <cfRule type="top10" dxfId="744" priority="130" percent="1" bottom="1" rank="10"/>
    <cfRule type="top10" dxfId="743" priority="131" percent="1" rank="10"/>
  </conditionalFormatting>
  <conditionalFormatting sqref="W31:W32">
    <cfRule type="top10" dxfId="742" priority="128" percent="1" bottom="1" rank="10"/>
    <cfRule type="top10" dxfId="741" priority="129" percent="1" rank="10"/>
  </conditionalFormatting>
  <conditionalFormatting sqref="W36:W40">
    <cfRule type="top10" dxfId="740" priority="126" percent="1" bottom="1" rank="10"/>
    <cfRule type="top10" dxfId="739" priority="127" percent="1" rank="10"/>
  </conditionalFormatting>
  <conditionalFormatting sqref="W14:W40">
    <cfRule type="cellIs" dxfId="738" priority="125" operator="lessThan">
      <formula>0</formula>
    </cfRule>
  </conditionalFormatting>
  <conditionalFormatting sqref="V15:V28 V31:V32 V36:V40">
    <cfRule type="dataBar" priority="124">
      <dataBar>
        <cfvo type="min"/>
        <cfvo type="max"/>
        <color rgb="FF638EC6"/>
      </dataBar>
      <extLst>
        <ext xmlns:x14="http://schemas.microsoft.com/office/spreadsheetml/2009/9/main" uri="{B025F937-C7B1-47D3-B67F-A62EFF666E3E}">
          <x14:id>{642F0D4C-2EF7-4EAE-A499-43DA4E7DA2F2}</x14:id>
        </ext>
      </extLst>
    </cfRule>
  </conditionalFormatting>
  <conditionalFormatting sqref="V14:V40">
    <cfRule type="cellIs" dxfId="737" priority="123" operator="lessThan">
      <formula>0</formula>
    </cfRule>
  </conditionalFormatting>
  <conditionalFormatting sqref="W31:W32">
    <cfRule type="top10" dxfId="736" priority="121" percent="1" bottom="1" rank="10"/>
    <cfRule type="top10" dxfId="735" priority="122" percent="1" rank="10"/>
  </conditionalFormatting>
  <conditionalFormatting sqref="W36:W40">
    <cfRule type="top10" dxfId="734" priority="119" percent="1" bottom="1" rank="10"/>
    <cfRule type="top10" dxfId="733" priority="120" percent="1" rank="10"/>
  </conditionalFormatting>
  <conditionalFormatting sqref="O14:O18">
    <cfRule type="cellIs" dxfId="732" priority="118" operator="lessThan">
      <formula>0</formula>
    </cfRule>
  </conditionalFormatting>
  <conditionalFormatting sqref="F39:I39 B41:I67 E40:I40">
    <cfRule type="cellIs" dxfId="731" priority="117" operator="lessThan">
      <formula>0</formula>
    </cfRule>
  </conditionalFormatting>
  <conditionalFormatting sqref="A69:V74 AB69:AB74 A75:AB77 AM69:XFD77">
    <cfRule type="cellIs" dxfId="730" priority="116" operator="lessThan">
      <formula>0</formula>
    </cfRule>
  </conditionalFormatting>
  <conditionalFormatting sqref="AL14:AL42">
    <cfRule type="containsText" dxfId="729" priority="111" operator="containsText" text="suurem">
      <formula>NOT(ISERROR(SEARCH("suurem",AL14)))</formula>
    </cfRule>
  </conditionalFormatting>
  <conditionalFormatting sqref="AL14:AL42">
    <cfRule type="containsText" dxfId="728" priority="110" operator="containsText" text="pienempi">
      <formula>NOT(ISERROR(SEARCH("pienempi",AL14)))</formula>
    </cfRule>
  </conditionalFormatting>
  <conditionalFormatting sqref="AL30:AL32">
    <cfRule type="containsText" dxfId="727" priority="99" operator="containsText" text="suurem">
      <formula>NOT(ISERROR(SEARCH("suurem",AL30)))</formula>
    </cfRule>
  </conditionalFormatting>
  <conditionalFormatting sqref="AL30:AL32">
    <cfRule type="containsText" dxfId="726" priority="98" operator="containsText" text="pienempi">
      <formula>NOT(ISERROR(SEARCH("pienempi",AL30)))</formula>
    </cfRule>
  </conditionalFormatting>
  <conditionalFormatting sqref="AL30:AL32">
    <cfRule type="containsText" dxfId="725" priority="97" operator="containsText" text="pienemmät">
      <formula>NOT(ISERROR(SEARCH("pienemmät",AL30)))</formula>
    </cfRule>
  </conditionalFormatting>
  <conditionalFormatting sqref="AL35:AL37">
    <cfRule type="containsText" dxfId="724" priority="96" operator="containsText" text="suurem">
      <formula>NOT(ISERROR(SEARCH("suurem",AL35)))</formula>
    </cfRule>
  </conditionalFormatting>
  <conditionalFormatting sqref="AL35:AL37">
    <cfRule type="containsText" dxfId="723" priority="95" operator="containsText" text="pienempi">
      <formula>NOT(ISERROR(SEARCH("pienempi",AL35)))</formula>
    </cfRule>
  </conditionalFormatting>
  <conditionalFormatting sqref="AL35:AL37">
    <cfRule type="containsText" dxfId="722" priority="94" operator="containsText" text="pienemmät">
      <formula>NOT(ISERROR(SEARCH("pienemmät",AL35)))</formula>
    </cfRule>
  </conditionalFormatting>
  <conditionalFormatting sqref="AL40">
    <cfRule type="containsText" dxfId="721" priority="93" operator="containsText" text="suurem">
      <formula>NOT(ISERROR(SEARCH("suurem",AL40)))</formula>
    </cfRule>
  </conditionalFormatting>
  <conditionalFormatting sqref="AL40">
    <cfRule type="containsText" dxfId="720" priority="92" operator="containsText" text="pienempi">
      <formula>NOT(ISERROR(SEARCH("pienempi",AL40)))</formula>
    </cfRule>
  </conditionalFormatting>
  <conditionalFormatting sqref="AL40">
    <cfRule type="containsText" dxfId="719" priority="91" operator="containsText" text="pienemmät">
      <formula>NOT(ISERROR(SEARCH("pienemmät",AL40)))</formula>
    </cfRule>
  </conditionalFormatting>
  <conditionalFormatting sqref="AL38:AL39">
    <cfRule type="containsText" dxfId="718" priority="90" operator="containsText" text="suurem">
      <formula>NOT(ISERROR(SEARCH("suurem",AL38)))</formula>
    </cfRule>
  </conditionalFormatting>
  <conditionalFormatting sqref="AL38:AL39">
    <cfRule type="containsText" dxfId="717" priority="89" operator="containsText" text="pienempi">
      <formula>NOT(ISERROR(SEARCH("pienempi",AL38)))</formula>
    </cfRule>
  </conditionalFormatting>
  <conditionalFormatting sqref="AL38:AL39">
    <cfRule type="containsText" dxfId="716" priority="88" operator="containsText" text="pienemmät">
      <formula>NOT(ISERROR(SEARCH("pienemmät",AL38)))</formula>
    </cfRule>
  </conditionalFormatting>
  <conditionalFormatting sqref="AL42">
    <cfRule type="containsText" dxfId="715" priority="87" operator="containsText" text="suurem">
      <formula>NOT(ISERROR(SEARCH("suurem",AL42)))</formula>
    </cfRule>
  </conditionalFormatting>
  <conditionalFormatting sqref="AL42">
    <cfRule type="containsText" dxfId="714" priority="86" operator="containsText" text="pienempi">
      <formula>NOT(ISERROR(SEARCH("pienempi",AL42)))</formula>
    </cfRule>
  </conditionalFormatting>
  <conditionalFormatting sqref="AL42">
    <cfRule type="containsText" dxfId="713" priority="85" operator="containsText" text="pienemmät">
      <formula>NOT(ISERROR(SEARCH("pienemmät",AL42)))</formula>
    </cfRule>
  </conditionalFormatting>
  <conditionalFormatting sqref="AC1:AG10 AJ3:AJ8 AJ1:AL2 AC29:AG29 AC33:AG34 AC30:AF32 AC41:AG41 AC43:AG1048576 AC42:AF42 AJ9:AL10 AC13:AE13 AG13 AC14:AG15 AC35:AF40 AC16:AF28 AJ12:AL1048576 AC12:AG12">
    <cfRule type="cellIs" dxfId="712" priority="84" operator="lessThan">
      <formula>0</formula>
    </cfRule>
  </conditionalFormatting>
  <conditionalFormatting sqref="AK3:AL8">
    <cfRule type="cellIs" dxfId="711" priority="83" operator="lessThan">
      <formula>0</formula>
    </cfRule>
  </conditionalFormatting>
  <conditionalFormatting sqref="AG42">
    <cfRule type="cellIs" dxfId="710" priority="69" operator="lessThan">
      <formula>0</formula>
    </cfRule>
  </conditionalFormatting>
  <conditionalFormatting sqref="AH1:AH10 AH43:AH1048576 AH12">
    <cfRule type="cellIs" dxfId="709" priority="82" operator="lessThan">
      <formula>0</formula>
    </cfRule>
  </conditionalFormatting>
  <conditionalFormatting sqref="AH29 AH33:AH34 AH41 AH14:AH15">
    <cfRule type="cellIs" dxfId="708" priority="81" operator="lessThan">
      <formula>0</formula>
    </cfRule>
  </conditionalFormatting>
  <conditionalFormatting sqref="AH30:AH31">
    <cfRule type="cellIs" dxfId="707" priority="72" operator="lessThan">
      <formula>0</formula>
    </cfRule>
  </conditionalFormatting>
  <conditionalFormatting sqref="AG38:AG39">
    <cfRule type="cellIs" dxfId="706" priority="71" operator="lessThan">
      <formula>0</formula>
    </cfRule>
  </conditionalFormatting>
  <conditionalFormatting sqref="AH38:AH39">
    <cfRule type="cellIs" dxfId="705" priority="70" operator="lessThan">
      <formula>0</formula>
    </cfRule>
  </conditionalFormatting>
  <conditionalFormatting sqref="AH13">
    <cfRule type="cellIs" dxfId="704" priority="80" operator="lessThan">
      <formula>0</formula>
    </cfRule>
  </conditionalFormatting>
  <conditionalFormatting sqref="AG32">
    <cfRule type="cellIs" dxfId="703" priority="79" operator="lessThan">
      <formula>0</formula>
    </cfRule>
  </conditionalFormatting>
  <conditionalFormatting sqref="AH32">
    <cfRule type="cellIs" dxfId="702" priority="78" operator="lessThan">
      <formula>0</formula>
    </cfRule>
  </conditionalFormatting>
  <conditionalFormatting sqref="AG16:AG24">
    <cfRule type="cellIs" dxfId="701" priority="77" operator="lessThan">
      <formula>0</formula>
    </cfRule>
  </conditionalFormatting>
  <conditionalFormatting sqref="AH16:AH24">
    <cfRule type="cellIs" dxfId="700" priority="76" operator="lessThan">
      <formula>0</formula>
    </cfRule>
  </conditionalFormatting>
  <conditionalFormatting sqref="AG27:AG28">
    <cfRule type="cellIs" dxfId="699" priority="75" operator="lessThan">
      <formula>0</formula>
    </cfRule>
  </conditionalFormatting>
  <conditionalFormatting sqref="AH27:AH28">
    <cfRule type="cellIs" dxfId="698" priority="74" operator="lessThan">
      <formula>0</formula>
    </cfRule>
  </conditionalFormatting>
  <conditionalFormatting sqref="AG30:AG31">
    <cfRule type="cellIs" dxfId="697" priority="73" operator="lessThan">
      <formula>0</formula>
    </cfRule>
  </conditionalFormatting>
  <conditionalFormatting sqref="AH42">
    <cfRule type="cellIs" dxfId="696" priority="68" operator="lessThan">
      <formula>0</formula>
    </cfRule>
  </conditionalFormatting>
  <conditionalFormatting sqref="AG25:AG26">
    <cfRule type="cellIs" dxfId="695" priority="67" operator="lessThan">
      <formula>0</formula>
    </cfRule>
  </conditionalFormatting>
  <conditionalFormatting sqref="AH25:AH26">
    <cfRule type="cellIs" dxfId="694" priority="66" operator="lessThan">
      <formula>0</formula>
    </cfRule>
  </conditionalFormatting>
  <conditionalFormatting sqref="AG35:AG37">
    <cfRule type="cellIs" dxfId="693" priority="65" operator="lessThan">
      <formula>0</formula>
    </cfRule>
  </conditionalFormatting>
  <conditionalFormatting sqref="AH35:AH37">
    <cfRule type="cellIs" dxfId="692" priority="64" operator="lessThan">
      <formula>0</formula>
    </cfRule>
  </conditionalFormatting>
  <conditionalFormatting sqref="AG40">
    <cfRule type="cellIs" dxfId="691" priority="63" operator="lessThan">
      <formula>0</formula>
    </cfRule>
  </conditionalFormatting>
  <conditionalFormatting sqref="AH40">
    <cfRule type="cellIs" dxfId="690" priority="62" operator="lessThan">
      <formula>0</formula>
    </cfRule>
  </conditionalFormatting>
  <conditionalFormatting sqref="AI1:AI10 AI14:AI1048576 AI12">
    <cfRule type="cellIs" dxfId="689" priority="61" operator="lessThan">
      <formula>0</formula>
    </cfRule>
  </conditionalFormatting>
  <conditionalFormatting sqref="AI13">
    <cfRule type="cellIs" dxfId="688" priority="60" operator="lessThan">
      <formula>0</formula>
    </cfRule>
  </conditionalFormatting>
  <conditionalFormatting sqref="P3">
    <cfRule type="containsText" dxfId="687" priority="59" operator="containsText" text="Tarkista">
      <formula>NOT(ISERROR(SEARCH("Tarkista",P3)))</formula>
    </cfRule>
  </conditionalFormatting>
  <conditionalFormatting sqref="J3:Q3">
    <cfRule type="cellIs" dxfId="686" priority="58" operator="lessThan">
      <formula>0</formula>
    </cfRule>
  </conditionalFormatting>
  <conditionalFormatting sqref="B3:I3">
    <cfRule type="cellIs" dxfId="685" priority="57" operator="lessThan">
      <formula>0</formula>
    </cfRule>
  </conditionalFormatting>
  <conditionalFormatting sqref="B14:H14">
    <cfRule type="cellIs" dxfId="684" priority="56" operator="lessThan">
      <formula>0</formula>
    </cfRule>
  </conditionalFormatting>
  <conditionalFormatting sqref="I14">
    <cfRule type="cellIs" dxfId="683" priority="55" operator="lessThan">
      <formula>0</formula>
    </cfRule>
  </conditionalFormatting>
  <conditionalFormatting sqref="K11:R11 AB11:AG11 AJ11">
    <cfRule type="cellIs" dxfId="682" priority="54" operator="lessThan">
      <formula>0</formula>
    </cfRule>
  </conditionalFormatting>
  <conditionalFormatting sqref="AH11">
    <cfRule type="cellIs" dxfId="681" priority="53" operator="lessThan">
      <formula>0</formula>
    </cfRule>
  </conditionalFormatting>
  <conditionalFormatting sqref="AI11">
    <cfRule type="cellIs" dxfId="680" priority="52" operator="lessThan">
      <formula>0</formula>
    </cfRule>
  </conditionalFormatting>
  <conditionalFormatting sqref="P11">
    <cfRule type="containsText" dxfId="679" priority="51" operator="containsText" text="Tarkista">
      <formula>NOT(ISERROR(SEARCH("Tarkista",P11)))</formula>
    </cfRule>
  </conditionalFormatting>
  <conditionalFormatting sqref="S11:AA11">
    <cfRule type="cellIs" dxfId="678" priority="50" operator="lessThan">
      <formula>0</formula>
    </cfRule>
  </conditionalFormatting>
  <conditionalFormatting sqref="AK11:AN11">
    <cfRule type="cellIs" dxfId="677" priority="49" operator="lessThan">
      <formula>0</formula>
    </cfRule>
  </conditionalFormatting>
  <conditionalFormatting sqref="B39:D40">
    <cfRule type="cellIs" dxfId="676" priority="48" operator="lessThan">
      <formula>0</formula>
    </cfRule>
  </conditionalFormatting>
  <conditionalFormatting sqref="M36:M37">
    <cfRule type="cellIs" dxfId="675" priority="47" operator="lessThan">
      <formula>0</formula>
    </cfRule>
  </conditionalFormatting>
  <conditionalFormatting sqref="Q43">
    <cfRule type="cellIs" dxfId="674" priority="44" operator="lessThan">
      <formula>0</formula>
    </cfRule>
  </conditionalFormatting>
  <conditionalFormatting sqref="M13:M18">
    <cfRule type="cellIs" dxfId="673" priority="45" operator="lessThan">
      <formula>0</formula>
    </cfRule>
  </conditionalFormatting>
  <conditionalFormatting sqref="L7:L8">
    <cfRule type="cellIs" dxfId="672" priority="43" operator="lessThan">
      <formula>0</formula>
    </cfRule>
  </conditionalFormatting>
  <conditionalFormatting sqref="N14">
    <cfRule type="cellIs" dxfId="671" priority="42" operator="lessThan">
      <formula>0</formula>
    </cfRule>
  </conditionalFormatting>
  <conditionalFormatting sqref="Y15:Y28">
    <cfRule type="top10" dxfId="670" priority="40" percent="1" bottom="1" rank="10"/>
    <cfRule type="top10" dxfId="669" priority="41" percent="1" rank="10"/>
  </conditionalFormatting>
  <conditionalFormatting sqref="Y31:Y32">
    <cfRule type="top10" dxfId="668" priority="38" percent="1" bottom="1" rank="10"/>
    <cfRule type="top10" dxfId="667" priority="39" percent="1" rank="10"/>
  </conditionalFormatting>
  <conditionalFormatting sqref="Y36:Y40">
    <cfRule type="top10" dxfId="666" priority="36" percent="1" bottom="1" rank="10"/>
    <cfRule type="top10" dxfId="665" priority="37" percent="1" rank="10"/>
  </conditionalFormatting>
  <conditionalFormatting sqref="Y15:Y29 Y31:Y34 Y36:Y40">
    <cfRule type="cellIs" dxfId="664" priority="35" operator="lessThan">
      <formula>0</formula>
    </cfRule>
  </conditionalFormatting>
  <conditionalFormatting sqref="Y31:Y32">
    <cfRule type="top10" dxfId="663" priority="33" percent="1" bottom="1" rank="10"/>
    <cfRule type="top10" dxfId="662" priority="34" percent="1" rank="10"/>
  </conditionalFormatting>
  <conditionalFormatting sqref="Y36:Y40">
    <cfRule type="top10" dxfId="661" priority="31" percent="1" bottom="1" rank="10"/>
    <cfRule type="top10" dxfId="660" priority="32" percent="1" rank="10"/>
  </conditionalFormatting>
  <conditionalFormatting sqref="Y14">
    <cfRule type="cellIs" dxfId="659" priority="30" operator="lessThan">
      <formula>0</formula>
    </cfRule>
  </conditionalFormatting>
  <conditionalFormatting sqref="Y30">
    <cfRule type="cellIs" dxfId="658" priority="29" operator="lessThan">
      <formula>0</formula>
    </cfRule>
  </conditionalFormatting>
  <conditionalFormatting sqref="Y35">
    <cfRule type="cellIs" dxfId="657" priority="28" operator="lessThan">
      <formula>0</formula>
    </cfRule>
  </conditionalFormatting>
  <conditionalFormatting sqref="AA15:AA28">
    <cfRule type="top10" dxfId="656" priority="26" percent="1" bottom="1" rank="10"/>
    <cfRule type="top10" dxfId="655" priority="27" percent="1" rank="10"/>
  </conditionalFormatting>
  <conditionalFormatting sqref="AA31:AA32">
    <cfRule type="top10" dxfId="654" priority="24" percent="1" bottom="1" rank="10"/>
    <cfRule type="top10" dxfId="653" priority="25" percent="1" rank="10"/>
  </conditionalFormatting>
  <conditionalFormatting sqref="AA36:AA40">
    <cfRule type="top10" dxfId="652" priority="22" percent="1" bottom="1" rank="10"/>
    <cfRule type="top10" dxfId="651" priority="23" percent="1" rank="10"/>
  </conditionalFormatting>
  <conditionalFormatting sqref="AA15:AA29 AA31:AA34 AA36:AA40">
    <cfRule type="cellIs" dxfId="650" priority="21" operator="lessThan">
      <formula>0</formula>
    </cfRule>
  </conditionalFormatting>
  <conditionalFormatting sqref="AA31:AA32">
    <cfRule type="top10" dxfId="649" priority="19" percent="1" bottom="1" rank="10"/>
    <cfRule type="top10" dxfId="648" priority="20" percent="1" rank="10"/>
  </conditionalFormatting>
  <conditionalFormatting sqref="AA36:AA40">
    <cfRule type="top10" dxfId="647" priority="17" percent="1" bottom="1" rank="10"/>
    <cfRule type="top10" dxfId="646" priority="18" percent="1" rank="10"/>
  </conditionalFormatting>
  <conditionalFormatting sqref="AA14">
    <cfRule type="cellIs" dxfId="645" priority="16" operator="lessThan">
      <formula>0</formula>
    </cfRule>
  </conditionalFormatting>
  <conditionalFormatting sqref="AA30">
    <cfRule type="cellIs" dxfId="644" priority="15" operator="lessThan">
      <formula>0</formula>
    </cfRule>
  </conditionalFormatting>
  <conditionalFormatting sqref="AA35">
    <cfRule type="cellIs" dxfId="643" priority="14" operator="lessThan">
      <formula>0</formula>
    </cfRule>
  </conditionalFormatting>
  <conditionalFormatting sqref="O27:O28">
    <cfRule type="cellIs" dxfId="642" priority="13" operator="lessThan">
      <formula>0</formula>
    </cfRule>
  </conditionalFormatting>
  <conditionalFormatting sqref="T8:U8 S6:U7">
    <cfRule type="cellIs" dxfId="641" priority="7" operator="lessThan">
      <formula>0</formula>
    </cfRule>
  </conditionalFormatting>
  <conditionalFormatting sqref="S4:U4 T5:U5">
    <cfRule type="cellIs" dxfId="640" priority="6" operator="lessThan">
      <formula>0</formula>
    </cfRule>
  </conditionalFormatting>
  <conditionalFormatting sqref="S8">
    <cfRule type="cellIs" dxfId="639" priority="5" operator="lessThan">
      <formula>0</formula>
    </cfRule>
  </conditionalFormatting>
  <conditionalFormatting sqref="S9:T9 T10">
    <cfRule type="cellIs" dxfId="638" priority="4" operator="lessThan">
      <formula>0</formula>
    </cfRule>
  </conditionalFormatting>
  <conditionalFormatting sqref="S10 U10">
    <cfRule type="cellIs" dxfId="637" priority="3" operator="lessThan">
      <formula>0</formula>
    </cfRule>
  </conditionalFormatting>
  <conditionalFormatting sqref="K36:L37 K35">
    <cfRule type="cellIs" dxfId="636" priority="2" operator="lessThan">
      <formula>0</formula>
    </cfRule>
  </conditionalFormatting>
  <conditionalFormatting sqref="L35">
    <cfRule type="cellIs" dxfId="635" priority="1" operator="lessThan">
      <formula>0</formula>
    </cfRule>
  </conditionalFormatting>
  <pageMargins left="0.7" right="0.7" top="0.75" bottom="0.75" header="0.3" footer="0.3"/>
  <pageSetup paperSize="9" orientation="portrait" horizontalDpi="300" verticalDpi="300" r:id="rId1"/>
  <drawing r:id="rId2"/>
  <legacyDrawing r:id="rId3"/>
  <extLst>
    <ext xmlns:x14="http://schemas.microsoft.com/office/spreadsheetml/2009/9/main" uri="{78C0D931-6437-407d-A8EE-F0AAD7539E65}">
      <x14:conditionalFormattings>
        <x14:conditionalFormatting xmlns:xm="http://schemas.microsoft.com/office/excel/2006/main">
          <x14:cfRule type="dataBar" id="{7D36D8D9-3B6A-47D6-BA22-3AE44E1DC081}">
            <x14:dataBar minLength="0" maxLength="100" border="1" negativeBarBorderColorSameAsPositive="0">
              <x14:cfvo type="autoMin"/>
              <x14:cfvo type="autoMax"/>
              <x14:borderColor rgb="FF63C384"/>
              <x14:negativeFillColor rgb="FFFF0000"/>
              <x14:negativeBorderColor rgb="FFFF0000"/>
              <x14:axisColor rgb="FF000000"/>
            </x14:dataBar>
          </x14:cfRule>
          <xm:sqref>H5:H11</xm:sqref>
        </x14:conditionalFormatting>
        <x14:conditionalFormatting xmlns:xm="http://schemas.microsoft.com/office/excel/2006/main">
          <x14:cfRule type="dataBar" id="{F0F0074F-BD7C-419F-B465-37CD2B21C329}">
            <x14:dataBar minLength="0" maxLength="100" border="1" negativeBarBorderColorSameAsPositive="0">
              <x14:cfvo type="autoMin"/>
              <x14:cfvo type="autoMax"/>
              <x14:borderColor rgb="FF638EC6"/>
              <x14:negativeFillColor rgb="FFFF0000"/>
              <x14:negativeBorderColor rgb="FFFF0000"/>
              <x14:axisColor rgb="FF000000"/>
            </x14:dataBar>
          </x14:cfRule>
          <xm:sqref>X15:X28 X31:X32 X36:X40</xm:sqref>
        </x14:conditionalFormatting>
        <x14:conditionalFormatting xmlns:xm="http://schemas.microsoft.com/office/excel/2006/main">
          <x14:cfRule type="dataBar" id="{C69DACBB-D052-4814-9D06-8D4784A8B64F}">
            <x14:dataBar minLength="0" maxLength="100" border="1" negativeBarBorderColorSameAsPositive="0">
              <x14:cfvo type="autoMin"/>
              <x14:cfvo type="autoMax"/>
              <x14:borderColor rgb="FF638EC6"/>
              <x14:negativeFillColor rgb="FFFF0000"/>
              <x14:negativeBorderColor rgb="FFFF0000"/>
              <x14:axisColor rgb="FF000000"/>
            </x14:dataBar>
          </x14:cfRule>
          <xm:sqref>Z15:Z28 Z31:Z32 Z36:Z40</xm:sqref>
        </x14:conditionalFormatting>
        <x14:conditionalFormatting xmlns:xm="http://schemas.microsoft.com/office/excel/2006/main">
          <x14:cfRule type="dataBar" id="{642F0D4C-2EF7-4EAE-A499-43DA4E7DA2F2}">
            <x14:dataBar minLength="0" maxLength="100" border="1" negativeBarBorderColorSameAsPositive="0">
              <x14:cfvo type="autoMin"/>
              <x14:cfvo type="autoMax"/>
              <x14:borderColor rgb="FF638EC6"/>
              <x14:negativeFillColor rgb="FFFF0000"/>
              <x14:negativeBorderColor rgb="FFFF0000"/>
              <x14:axisColor rgb="FF000000"/>
            </x14:dataBar>
          </x14:cfRule>
          <xm:sqref>V15:V28 V31:V32 V36:V40</xm:sqref>
        </x14:conditionalFormatting>
      </x14:conditionalFormatting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66CC"/>
  </sheetPr>
  <dimension ref="A1:BG133"/>
  <sheetViews>
    <sheetView zoomScaleNormal="100" workbookViewId="0">
      <pane ySplit="1" topLeftCell="A2" activePane="bottomLeft" state="frozen"/>
      <selection activeCell="E1" sqref="E1"/>
      <selection pane="bottomLeft" activeCell="E1" sqref="E1"/>
    </sheetView>
  </sheetViews>
  <sheetFormatPr defaultColWidth="9.1796875" defaultRowHeight="14.5" x14ac:dyDescent="0.35"/>
  <cols>
    <col min="1" max="1" width="2.6328125" style="49" customWidth="1"/>
    <col min="2" max="2" width="2.6328125" style="44" customWidth="1"/>
    <col min="3" max="8" width="10.6328125" style="44" customWidth="1"/>
    <col min="9" max="9" width="12.6328125" style="44" customWidth="1"/>
    <col min="10" max="10" width="2.6328125" style="49" customWidth="1"/>
    <col min="11" max="11" width="17.6328125" style="44" customWidth="1"/>
    <col min="12" max="12" width="11.6328125" style="44" customWidth="1"/>
    <col min="13" max="13" width="10.6328125" style="44" customWidth="1"/>
    <col min="14" max="14" width="8.6328125" style="44" customWidth="1"/>
    <col min="15" max="15" width="11.6328125" style="44" customWidth="1"/>
    <col min="16" max="17" width="10.6328125" style="44" customWidth="1"/>
    <col min="18" max="18" width="2.6328125" style="49" customWidth="1"/>
    <col min="19" max="19" width="2.6328125" style="44" customWidth="1"/>
    <col min="20" max="20" width="14.6328125" style="44" customWidth="1"/>
    <col min="21" max="21" width="8.6328125" style="44" customWidth="1"/>
    <col min="22" max="27" width="10.6328125" style="44" customWidth="1"/>
    <col min="28" max="28" width="2.6328125" style="49" customWidth="1"/>
    <col min="29" max="32" width="10.6328125" style="424" hidden="1" customWidth="1"/>
    <col min="33" max="35" width="10.6328125" style="564" hidden="1" customWidth="1"/>
    <col min="36" max="36" width="2.6328125" style="49" customWidth="1"/>
    <col min="37" max="37" width="29.453125" style="46" customWidth="1"/>
    <col min="38" max="38" width="36.6328125" style="44" bestFit="1" customWidth="1"/>
    <col min="39" max="39" width="2.6328125" style="49" customWidth="1"/>
    <col min="40" max="40" width="72" style="44" customWidth="1"/>
    <col min="41" max="49" width="10.6328125" style="49" customWidth="1"/>
    <col min="50" max="59" width="9.1796875" style="49"/>
    <col min="60" max="16384" width="9.1796875" style="44"/>
  </cols>
  <sheetData>
    <row r="1" spans="1:59" s="410" customFormat="1" ht="27" customHeight="1" x14ac:dyDescent="0.35">
      <c r="A1" s="408"/>
      <c r="B1" s="408"/>
      <c r="C1" s="408"/>
      <c r="D1" s="409"/>
      <c r="E1" s="409" t="s">
        <v>408</v>
      </c>
      <c r="F1" s="408"/>
      <c r="G1" s="408"/>
      <c r="H1" s="408"/>
      <c r="I1" s="408"/>
      <c r="J1" s="408"/>
      <c r="K1" s="408" t="str">
        <f>CONCATENATE(Etusivu!$F$10,," ",Etusivu!$G$10,", ",Etusivu!$F$7," ",Etusivu!$G$7)</f>
        <v>Laskelman laatija: Lappari-elinkeino -hanke, Laskelmavuosi: 2021</v>
      </c>
      <c r="L1" s="408"/>
      <c r="M1" s="408"/>
      <c r="N1" s="408"/>
      <c r="O1" s="408"/>
      <c r="P1" s="408"/>
      <c r="Q1" s="411"/>
      <c r="R1" s="408"/>
      <c r="S1" s="408"/>
      <c r="T1" s="408"/>
      <c r="U1" s="408"/>
      <c r="V1" s="408"/>
      <c r="W1" s="408"/>
      <c r="X1" s="408"/>
      <c r="Y1" s="408"/>
      <c r="Z1" s="408"/>
      <c r="AA1" s="408"/>
      <c r="AB1" s="408"/>
      <c r="AC1" s="558"/>
      <c r="AD1" s="558"/>
      <c r="AE1" s="558"/>
      <c r="AF1" s="558"/>
      <c r="AG1" s="563"/>
      <c r="AH1" s="563"/>
      <c r="AI1" s="563"/>
      <c r="AJ1" s="408"/>
      <c r="AK1" s="408"/>
      <c r="AL1" s="408"/>
      <c r="AM1" s="408"/>
      <c r="AN1" s="408"/>
      <c r="AO1" s="408"/>
      <c r="AP1" s="408"/>
      <c r="AQ1" s="408"/>
      <c r="AR1" s="408"/>
      <c r="AS1" s="408"/>
      <c r="AT1" s="408"/>
      <c r="AU1" s="408"/>
      <c r="AV1" s="408"/>
      <c r="AW1" s="408"/>
      <c r="AX1" s="408"/>
      <c r="AY1" s="408"/>
      <c r="AZ1" s="408"/>
      <c r="BA1" s="408"/>
      <c r="BB1" s="408"/>
      <c r="BC1" s="408"/>
      <c r="BD1" s="408"/>
      <c r="BE1" s="408"/>
      <c r="BF1" s="408"/>
      <c r="BG1" s="408"/>
    </row>
    <row r="2" spans="1:59" s="2" customFormat="1" ht="14.25" customHeight="1" x14ac:dyDescent="0.35">
      <c r="A2" s="3"/>
      <c r="B2" s="4"/>
      <c r="C2" s="1"/>
      <c r="D2" s="1"/>
      <c r="E2" s="1"/>
      <c r="F2" s="1"/>
      <c r="G2" s="1"/>
      <c r="H2" s="1"/>
      <c r="I2" s="1"/>
      <c r="J2" s="1"/>
      <c r="K2" s="216"/>
      <c r="L2" s="1"/>
      <c r="M2" s="1"/>
      <c r="N2" s="1"/>
      <c r="O2" s="1"/>
      <c r="P2" s="1"/>
      <c r="Q2" s="1"/>
      <c r="R2" s="1"/>
      <c r="S2" s="1"/>
      <c r="T2" s="1"/>
      <c r="U2" s="1"/>
      <c r="V2" s="1"/>
      <c r="W2" s="1"/>
      <c r="X2" s="1"/>
      <c r="Y2" s="1"/>
      <c r="Z2" s="1"/>
      <c r="AA2" s="1"/>
      <c r="AB2" s="1"/>
      <c r="AC2" s="559"/>
      <c r="AD2" s="559"/>
      <c r="AE2" s="559"/>
      <c r="AF2" s="559"/>
      <c r="AG2" s="564"/>
      <c r="AH2" s="564"/>
      <c r="AI2" s="564"/>
      <c r="AJ2" s="1"/>
      <c r="AK2" s="1"/>
      <c r="AL2" s="1"/>
      <c r="AM2" s="1"/>
      <c r="AN2" s="1"/>
      <c r="AO2" s="1"/>
      <c r="AP2" s="1"/>
      <c r="AQ2" s="1"/>
      <c r="AR2" s="1"/>
      <c r="AS2" s="1"/>
      <c r="AT2" s="1"/>
      <c r="AU2" s="1"/>
      <c r="AV2" s="1"/>
      <c r="AW2" s="1"/>
      <c r="AX2" s="1"/>
      <c r="AY2" s="1"/>
      <c r="AZ2" s="1"/>
      <c r="BA2" s="1"/>
      <c r="BB2" s="1"/>
      <c r="BC2" s="1"/>
      <c r="BD2" s="1"/>
      <c r="BE2" s="1"/>
      <c r="BF2" s="1"/>
      <c r="BG2" s="1"/>
    </row>
    <row r="3" spans="1:59" ht="20" customHeight="1" thickBot="1" x14ac:dyDescent="0.5">
      <c r="B3" s="575" t="s">
        <v>0</v>
      </c>
      <c r="C3" s="575"/>
      <c r="D3" s="575"/>
      <c r="E3" s="575"/>
      <c r="F3" s="575"/>
      <c r="G3" s="575"/>
      <c r="H3" s="575"/>
      <c r="I3" s="575"/>
      <c r="K3" s="575" t="s">
        <v>475</v>
      </c>
      <c r="L3" s="576"/>
      <c r="M3" s="576"/>
      <c r="N3" s="576"/>
      <c r="O3" s="577" t="s">
        <v>405</v>
      </c>
      <c r="P3" s="578" t="str">
        <f>IF(E7=0,"Tarkista",E7)</f>
        <v>Tarkista</v>
      </c>
      <c r="Q3" s="579" t="s">
        <v>79</v>
      </c>
      <c r="S3" s="39"/>
      <c r="U3" s="39"/>
      <c r="V3" s="39"/>
      <c r="W3" s="39"/>
      <c r="X3" s="39"/>
      <c r="Y3" s="39"/>
      <c r="Z3" s="39"/>
      <c r="AA3" s="876"/>
      <c r="AK3" s="43"/>
      <c r="AL3" s="43"/>
      <c r="AN3" s="43"/>
    </row>
    <row r="4" spans="1:59" ht="22.5" thickTop="1" x14ac:dyDescent="0.35">
      <c r="B4" s="39"/>
      <c r="C4" s="39"/>
      <c r="D4" s="39"/>
      <c r="E4" s="50" t="s">
        <v>84</v>
      </c>
      <c r="F4" s="50" t="s">
        <v>418</v>
      </c>
      <c r="G4" s="50" t="s">
        <v>1</v>
      </c>
      <c r="H4" s="50" t="s">
        <v>406</v>
      </c>
      <c r="I4" s="50" t="s">
        <v>2</v>
      </c>
      <c r="K4" s="51" t="s">
        <v>77</v>
      </c>
      <c r="L4" s="294" t="s">
        <v>281</v>
      </c>
      <c r="M4" s="663" t="s">
        <v>490</v>
      </c>
      <c r="N4" s="401" t="s">
        <v>491</v>
      </c>
      <c r="O4" s="402" t="s">
        <v>484</v>
      </c>
      <c r="P4" s="184" t="s">
        <v>486</v>
      </c>
      <c r="Q4" s="184"/>
      <c r="S4" s="677" t="s">
        <v>663</v>
      </c>
      <c r="T4" s="690"/>
      <c r="U4" s="691"/>
      <c r="V4" s="39"/>
      <c r="W4" s="39"/>
      <c r="X4" s="39"/>
      <c r="Y4" s="39"/>
      <c r="Z4" s="39"/>
      <c r="AA4" s="876"/>
    </row>
    <row r="5" spans="1:59" ht="15" customHeight="1" x14ac:dyDescent="0.35">
      <c r="B5" s="9">
        <v>1</v>
      </c>
      <c r="C5" s="874" t="s">
        <v>770</v>
      </c>
      <c r="D5" s="875"/>
      <c r="E5" s="215">
        <f>'Rehun käyttö, nettosato'!E5</f>
        <v>20</v>
      </c>
      <c r="F5" s="36">
        <f>'Rehun käyttö, nettosato'!F5</f>
        <v>6000</v>
      </c>
      <c r="G5" s="36">
        <f t="shared" ref="G5:G10" si="0">E5*F5</f>
        <v>120000</v>
      </c>
      <c r="H5" s="53">
        <f>IF(E5=0,0,Energiantarve!O11)</f>
        <v>56407.14263249292</v>
      </c>
      <c r="I5" s="53">
        <f>Energiantarve!P11</f>
        <v>1128142.8526498585</v>
      </c>
      <c r="K5" s="14" t="s">
        <v>626</v>
      </c>
      <c r="L5" s="418">
        <f>Lähtötiedot!L10+Lähtötiedot!L11</f>
        <v>13072</v>
      </c>
      <c r="M5" s="36">
        <f>G9+G10</f>
        <v>3056</v>
      </c>
      <c r="N5" s="124">
        <f>IF(M5=0,0,L5/M5)</f>
        <v>4.2774869109947646</v>
      </c>
      <c r="O5" s="269">
        <f>IF(P$3="Tarkista",0,M5*N5/P$3)</f>
        <v>0</v>
      </c>
      <c r="P5" s="184" t="s">
        <v>487</v>
      </c>
      <c r="Q5" s="220">
        <f>O5</f>
        <v>0</v>
      </c>
      <c r="S5" s="692"/>
      <c r="T5" s="780">
        <f>V42</f>
        <v>0</v>
      </c>
      <c r="U5" s="693" t="s">
        <v>516</v>
      </c>
      <c r="V5" s="39"/>
      <c r="W5" s="39"/>
      <c r="X5" s="39"/>
      <c r="Y5" s="39"/>
      <c r="Z5" s="39"/>
      <c r="AA5" s="876"/>
    </row>
    <row r="6" spans="1:59" x14ac:dyDescent="0.35">
      <c r="B6" s="9">
        <v>2</v>
      </c>
      <c r="C6" s="874" t="s">
        <v>771</v>
      </c>
      <c r="D6" s="875"/>
      <c r="E6" s="215">
        <f>'Rehun käyttö, nettosato'!E6</f>
        <v>4</v>
      </c>
      <c r="F6" s="36">
        <f>'Rehun käyttö, nettosato'!F6</f>
        <v>1</v>
      </c>
      <c r="G6" s="36">
        <f t="shared" si="0"/>
        <v>4</v>
      </c>
      <c r="H6" s="53">
        <f>IF(E6=0,0,Energiantarve!O17/(Energiantarve!I14/365))</f>
        <v>27081.950718685832</v>
      </c>
      <c r="I6" s="53">
        <f>Energiantarve!P17</f>
        <v>216804</v>
      </c>
      <c r="K6" s="300" t="s">
        <v>627</v>
      </c>
      <c r="L6" s="418">
        <f>Lähtötiedot!L9</f>
        <v>0</v>
      </c>
      <c r="M6" s="215">
        <f>G7</f>
        <v>0</v>
      </c>
      <c r="N6" s="36">
        <f>IF(M6=0,0,L6/M6)</f>
        <v>0</v>
      </c>
      <c r="O6" s="269">
        <f>IF(P$3="Tarkista",0,M6*N6/P$3)</f>
        <v>0</v>
      </c>
      <c r="P6" s="184" t="s">
        <v>495</v>
      </c>
      <c r="Q6" s="220">
        <f>O6</f>
        <v>0</v>
      </c>
      <c r="S6" s="682" t="s">
        <v>665</v>
      </c>
      <c r="T6" s="675"/>
      <c r="U6" s="694"/>
      <c r="V6" s="39"/>
      <c r="W6" s="39"/>
      <c r="X6" s="39"/>
      <c r="Y6" s="39"/>
      <c r="Z6" s="39"/>
      <c r="AA6" s="876"/>
    </row>
    <row r="7" spans="1:59" ht="15.75" customHeight="1" x14ac:dyDescent="0.35">
      <c r="B7" s="9">
        <v>3</v>
      </c>
      <c r="C7" s="874" t="s">
        <v>3</v>
      </c>
      <c r="D7" s="875"/>
      <c r="E7" s="215">
        <f>'Rehun käyttö, nettosato'!E7</f>
        <v>0</v>
      </c>
      <c r="F7" s="727">
        <f>'Rehun käyttö, nettosato'!F7</f>
        <v>0</v>
      </c>
      <c r="G7" s="36">
        <f t="shared" si="0"/>
        <v>0</v>
      </c>
      <c r="H7" s="53">
        <f>IF(E7=0,0,Energiantarve!O23)</f>
        <v>0</v>
      </c>
      <c r="I7" s="53">
        <f>Energiantarve!P23</f>
        <v>0</v>
      </c>
      <c r="K7" s="301" t="s">
        <v>492</v>
      </c>
      <c r="L7" s="24">
        <f>Lähtötiedot!Q16*N14</f>
        <v>0</v>
      </c>
      <c r="M7" s="304"/>
      <c r="N7" s="302"/>
      <c r="O7" s="269">
        <f>IF(P$3="Tarkista",0,L7/P$3)</f>
        <v>0</v>
      </c>
      <c r="P7" s="184" t="s">
        <v>489</v>
      </c>
      <c r="Q7" s="220">
        <f>O7</f>
        <v>0</v>
      </c>
      <c r="S7" s="682" t="s">
        <v>664</v>
      </c>
      <c r="T7" s="675"/>
      <c r="U7" s="694"/>
      <c r="V7" s="39"/>
      <c r="W7" s="39"/>
      <c r="X7" s="39"/>
      <c r="Y7" s="39"/>
      <c r="Z7" s="39"/>
      <c r="AA7" s="39"/>
    </row>
    <row r="8" spans="1:59" ht="15.75" customHeight="1" thickBot="1" x14ac:dyDescent="0.4">
      <c r="B8" s="9">
        <v>4</v>
      </c>
      <c r="C8" s="874" t="s">
        <v>771</v>
      </c>
      <c r="D8" s="875"/>
      <c r="E8" s="215">
        <f>'Rehun käyttö, nettosato'!E8</f>
        <v>0</v>
      </c>
      <c r="F8" s="36">
        <f>'Rehun käyttö, nettosato'!F8</f>
        <v>1</v>
      </c>
      <c r="G8" s="36">
        <f t="shared" si="0"/>
        <v>0</v>
      </c>
      <c r="H8" s="53">
        <f>IF(E8=0,0,Energiantarve!O29/(Energiantarve!I26/365))</f>
        <v>0</v>
      </c>
      <c r="I8" s="53">
        <f>Energiantarve!P29</f>
        <v>0</v>
      </c>
      <c r="K8" s="301" t="s">
        <v>488</v>
      </c>
      <c r="L8" s="24">
        <f>(Lähtötiedot!P9+Lähtötiedot!P12)*N14</f>
        <v>0</v>
      </c>
      <c r="M8" s="305"/>
      <c r="N8" s="303"/>
      <c r="O8" s="269">
        <f>IF(P$3="Tarkista",0,L8/P$3)</f>
        <v>0</v>
      </c>
      <c r="P8" s="184" t="s">
        <v>465</v>
      </c>
      <c r="Q8" s="220">
        <f>O8</f>
        <v>0</v>
      </c>
      <c r="S8" s="682"/>
      <c r="T8" s="781">
        <f>V44</f>
        <v>0</v>
      </c>
      <c r="U8" s="695" t="s">
        <v>516</v>
      </c>
      <c r="V8" s="39"/>
      <c r="W8" s="39"/>
      <c r="X8" s="39"/>
      <c r="Y8" s="39"/>
      <c r="Z8" s="39"/>
      <c r="AA8" s="39"/>
    </row>
    <row r="9" spans="1:59" ht="15" thickBot="1" x14ac:dyDescent="0.4">
      <c r="B9" s="9">
        <v>5</v>
      </c>
      <c r="C9" s="874" t="s">
        <v>4</v>
      </c>
      <c r="D9" s="875"/>
      <c r="E9" s="215">
        <f>'Rehun käyttö, nettosato'!E9</f>
        <v>8</v>
      </c>
      <c r="F9" s="36">
        <f>'Rehun käyttö, nettosato'!F9</f>
        <v>244</v>
      </c>
      <c r="G9" s="36">
        <f t="shared" si="0"/>
        <v>1952</v>
      </c>
      <c r="H9" s="53">
        <f>IF(E9=0,0,Energiantarve!O35/(Energiantarve!K32/365))</f>
        <v>34461.840000000004</v>
      </c>
      <c r="I9" s="53">
        <f>Energiantarve!P35</f>
        <v>498516.48000000004</v>
      </c>
      <c r="K9" s="77" t="s">
        <v>81</v>
      </c>
      <c r="L9" s="39"/>
      <c r="M9" s="37"/>
      <c r="N9" s="39"/>
      <c r="O9" s="271">
        <f>SUM(O5:O8)</f>
        <v>0</v>
      </c>
      <c r="P9" s="257"/>
      <c r="Q9" s="257"/>
      <c r="S9" s="696" t="s">
        <v>682</v>
      </c>
      <c r="T9" s="676"/>
      <c r="U9" s="697"/>
      <c r="V9" s="39"/>
      <c r="W9" s="39"/>
      <c r="X9" s="39"/>
      <c r="Y9" s="39"/>
      <c r="Z9" s="39"/>
      <c r="AA9" s="39"/>
      <c r="AK9" s="56"/>
      <c r="AL9" s="39"/>
      <c r="AN9" s="39"/>
    </row>
    <row r="10" spans="1:59" ht="15" thickBot="1" x14ac:dyDescent="0.4">
      <c r="B10" s="9">
        <v>6</v>
      </c>
      <c r="C10" s="874" t="s">
        <v>5</v>
      </c>
      <c r="D10" s="875"/>
      <c r="E10" s="215">
        <f>'Rehun käyttö, nettosato'!E10</f>
        <v>6</v>
      </c>
      <c r="F10" s="36">
        <f>'Rehun käyttö, nettosato'!F10</f>
        <v>184</v>
      </c>
      <c r="G10" s="36">
        <f t="shared" si="0"/>
        <v>1104</v>
      </c>
      <c r="H10" s="53">
        <f>IF(E10=0,0,Energiantarve!O41/(Energiantarve!K38/365))</f>
        <v>21343.958999999995</v>
      </c>
      <c r="I10" s="728">
        <f>Energiantarve!P41</f>
        <v>263144.69999999995</v>
      </c>
      <c r="K10" s="77"/>
      <c r="L10" s="39"/>
      <c r="M10" s="39"/>
      <c r="N10" s="39"/>
      <c r="O10" s="390"/>
      <c r="P10" s="257"/>
      <c r="Q10" s="257"/>
      <c r="S10" s="698"/>
      <c r="T10" s="782">
        <f>IF(M6=0,0,L8/M6)</f>
        <v>0</v>
      </c>
      <c r="U10" s="699" t="s">
        <v>672</v>
      </c>
      <c r="V10" s="39"/>
      <c r="W10" s="39"/>
      <c r="X10" s="39"/>
      <c r="Y10" s="39"/>
      <c r="Z10" s="39"/>
      <c r="AA10" s="39"/>
      <c r="AK10" s="56"/>
      <c r="AL10" s="39"/>
      <c r="AN10" s="39"/>
    </row>
    <row r="11" spans="1:59" ht="19.5" thickTop="1" thickBot="1" x14ac:dyDescent="0.5">
      <c r="B11" s="9">
        <v>7</v>
      </c>
      <c r="C11" s="874" t="s">
        <v>403</v>
      </c>
      <c r="D11" s="875"/>
      <c r="E11" s="215">
        <f>'Rehun käyttö, nettosato'!E11</f>
        <v>0</v>
      </c>
      <c r="F11" s="39"/>
      <c r="G11" s="39"/>
      <c r="H11" s="53">
        <f>IF(E11=0,0,Energiantarve!O47)</f>
        <v>0</v>
      </c>
      <c r="I11" s="728">
        <f>Energiantarve!P47</f>
        <v>0</v>
      </c>
      <c r="K11" s="575" t="s">
        <v>34</v>
      </c>
      <c r="L11" s="576"/>
      <c r="M11" s="576"/>
      <c r="N11" s="576"/>
      <c r="O11" s="577"/>
      <c r="P11" s="578"/>
      <c r="Q11" s="579"/>
      <c r="S11" s="569" t="s">
        <v>514</v>
      </c>
      <c r="T11" s="582"/>
      <c r="U11" s="582"/>
      <c r="V11" s="583"/>
      <c r="W11" s="582"/>
      <c r="X11" s="582"/>
      <c r="Y11" s="584"/>
      <c r="Z11" s="569"/>
      <c r="AA11" s="582"/>
      <c r="AK11" s="569" t="s">
        <v>685</v>
      </c>
      <c r="AL11" s="569"/>
      <c r="AN11" s="569" t="s">
        <v>244</v>
      </c>
    </row>
    <row r="12" spans="1:59" ht="16" thickBot="1" x14ac:dyDescent="0.4">
      <c r="B12" s="39"/>
      <c r="C12" s="39"/>
      <c r="D12" s="39"/>
      <c r="E12" s="39"/>
      <c r="F12" s="39"/>
      <c r="G12" s="39"/>
      <c r="H12" s="39"/>
      <c r="I12" s="729">
        <f>SUM(I5:I11)</f>
        <v>2106608.0326498584</v>
      </c>
      <c r="K12" s="51" t="s">
        <v>35</v>
      </c>
      <c r="L12" s="19"/>
      <c r="M12" s="21"/>
      <c r="N12" s="19"/>
      <c r="O12" s="273"/>
      <c r="P12" s="295"/>
      <c r="Q12" s="19"/>
      <c r="S12" s="39"/>
      <c r="T12" s="39"/>
      <c r="U12" s="39"/>
      <c r="V12" s="39" t="s">
        <v>40</v>
      </c>
      <c r="W12" s="39"/>
      <c r="X12" s="57" t="s">
        <v>41</v>
      </c>
      <c r="Y12" s="57"/>
      <c r="Z12" s="58" t="s">
        <v>42</v>
      </c>
      <c r="AA12" s="58"/>
      <c r="AL12" s="97"/>
      <c r="AN12" s="245"/>
    </row>
    <row r="13" spans="1:59" ht="22" x14ac:dyDescent="0.35">
      <c r="B13" s="39"/>
      <c r="C13" s="39"/>
      <c r="D13" s="39"/>
      <c r="E13" s="39"/>
      <c r="F13" s="39"/>
      <c r="G13" s="39"/>
      <c r="H13" s="39"/>
      <c r="I13" s="730"/>
      <c r="K13" s="44" t="s">
        <v>36</v>
      </c>
      <c r="L13" s="316" t="s">
        <v>37</v>
      </c>
      <c r="M13" s="122" t="s">
        <v>25</v>
      </c>
      <c r="N13" s="316" t="s">
        <v>38</v>
      </c>
      <c r="O13" s="402" t="s">
        <v>484</v>
      </c>
      <c r="P13" s="296" t="s">
        <v>505</v>
      </c>
      <c r="Q13" s="19"/>
      <c r="S13" s="39"/>
      <c r="T13" s="39"/>
      <c r="U13" s="39"/>
      <c r="V13" s="663" t="s">
        <v>516</v>
      </c>
      <c r="W13" s="50" t="s">
        <v>43</v>
      </c>
      <c r="X13" s="59" t="s">
        <v>516</v>
      </c>
      <c r="Y13" s="59" t="s">
        <v>43</v>
      </c>
      <c r="Z13" s="60" t="s">
        <v>516</v>
      </c>
      <c r="AA13" s="60" t="s">
        <v>43</v>
      </c>
      <c r="AF13" s="566">
        <v>0.2</v>
      </c>
      <c r="AG13" s="567">
        <f>1+AF13</f>
        <v>1.2</v>
      </c>
      <c r="AH13" s="567">
        <f>1-AF13</f>
        <v>0.8</v>
      </c>
      <c r="AI13" s="567">
        <v>0.3</v>
      </c>
      <c r="AK13" s="46" t="str">
        <f>V13</f>
        <v>€/kpl</v>
      </c>
      <c r="AN13" s="245"/>
    </row>
    <row r="14" spans="1:59" ht="20" customHeight="1" x14ac:dyDescent="0.45">
      <c r="B14" s="726" t="s">
        <v>460</v>
      </c>
      <c r="C14" s="574"/>
      <c r="D14" s="574"/>
      <c r="E14" s="574"/>
      <c r="F14" s="574"/>
      <c r="G14" s="574"/>
      <c r="H14" s="574"/>
      <c r="I14" s="574"/>
      <c r="K14" s="14" t="s">
        <v>476</v>
      </c>
      <c r="L14" s="36">
        <f>G17</f>
        <v>164000</v>
      </c>
      <c r="M14" s="293">
        <f>'Rehujen tuotantokustannukset'!J5</f>
        <v>0.12014544186297008</v>
      </c>
      <c r="N14" s="23">
        <f>IF(Lähtötiedot!L13=0,0,SUM(Lähtötiedot!Q20:Q22)*Lähtötiedot!L9/Lähtötiedot!L13)</f>
        <v>0</v>
      </c>
      <c r="O14" s="269">
        <f>IF(P$3="Tarkista",0,L14*M14*N14/P$3)</f>
        <v>0</v>
      </c>
      <c r="P14" s="387">
        <f>'Säilörehun tuotantokustannus'!N5</f>
        <v>0.12</v>
      </c>
      <c r="Q14" s="387">
        <f>IF(P$3="Tarkista",0,ROUNDUP((L14*P14*N14/P$3)*(1-Q43)/100,3))</f>
        <v>0</v>
      </c>
      <c r="S14" s="61" t="s">
        <v>35</v>
      </c>
      <c r="T14" s="39"/>
      <c r="U14" s="39"/>
      <c r="V14" s="527">
        <f>SUM(V15:V28)</f>
        <v>0</v>
      </c>
      <c r="W14" s="63">
        <f>IF(V$42=0,0,V14/V$42)</f>
        <v>0</v>
      </c>
      <c r="X14" s="530">
        <f>SUM(X15:X28)</f>
        <v>0</v>
      </c>
      <c r="Y14" s="65">
        <f>IF(X$42=0,0,X14/X$42)</f>
        <v>0</v>
      </c>
      <c r="Z14" s="531">
        <f>SUM(Z15:Z28)</f>
        <v>0</v>
      </c>
      <c r="AA14" s="67">
        <f>IF(Z$42=0,0,Z14/Z$42)</f>
        <v>0</v>
      </c>
      <c r="AC14" s="561">
        <f>V14</f>
        <v>0</v>
      </c>
      <c r="AD14" s="561">
        <f>X14</f>
        <v>0</v>
      </c>
      <c r="AE14" s="561">
        <f>AC14-AD14</f>
        <v>0</v>
      </c>
      <c r="AF14" s="562" t="e">
        <f>AD14/AC14</f>
        <v>#DIV/0!</v>
      </c>
      <c r="AG14" s="564" t="e">
        <f>IF(AF14&lt;AG$13,"_","ovat pienemmät kuin vertailulaskelmassa")</f>
        <v>#DIV/0!</v>
      </c>
      <c r="AH14" s="564" t="e">
        <f>IF(AF14&gt;AH$13,"_","ovat suuremmat kuin vertailulaskelmassa")</f>
        <v>#DIV/0!</v>
      </c>
      <c r="AI14" s="564">
        <f>IF(V14&lt;AI$13,1,0)</f>
        <v>1</v>
      </c>
      <c r="AK14" s="45" t="str">
        <f>S14</f>
        <v>Muuttuvat kustannukset</v>
      </c>
      <c r="AL14" s="44" t="str">
        <f>IF(AI14=0,IF(AF14&lt;1,AH14,AG14),"_")</f>
        <v>_</v>
      </c>
      <c r="AN14" s="245"/>
    </row>
    <row r="15" spans="1:59" ht="15" customHeight="1" thickBot="1" x14ac:dyDescent="0.4">
      <c r="B15" s="39"/>
      <c r="C15" s="39"/>
      <c r="D15" s="39"/>
      <c r="E15" s="50" t="s">
        <v>6</v>
      </c>
      <c r="F15" s="731" t="s">
        <v>237</v>
      </c>
      <c r="G15" s="732" t="s">
        <v>1</v>
      </c>
      <c r="H15" s="732" t="s">
        <v>407</v>
      </c>
      <c r="I15" s="732" t="s">
        <v>7</v>
      </c>
      <c r="K15" s="14" t="s">
        <v>477</v>
      </c>
      <c r="L15" s="36">
        <f>G18</f>
        <v>0</v>
      </c>
      <c r="M15" s="293">
        <f>'Rehujen tuotantokustannukset'!J6</f>
        <v>0</v>
      </c>
      <c r="N15" s="23">
        <f>N$14</f>
        <v>0</v>
      </c>
      <c r="O15" s="269">
        <f>IF(P$3="Tarkista",0,L15*M15*N15/P$3)</f>
        <v>0</v>
      </c>
      <c r="P15" s="297"/>
      <c r="Q15" s="19"/>
      <c r="S15" s="39"/>
      <c r="T15" s="68" t="str">
        <f>K14</f>
        <v xml:space="preserve">   Säilörehu</v>
      </c>
      <c r="U15" s="39"/>
      <c r="V15" s="382">
        <f>IF(P$3="Tarkista",0,O14*(1-Q43)/(M$6/P$3))</f>
        <v>0</v>
      </c>
      <c r="W15" s="536">
        <f>IF(V$42=0,0,V15/V$42)</f>
        <v>0</v>
      </c>
      <c r="X15" s="388">
        <f>Tuotantokustannusvertailu!N146</f>
        <v>0</v>
      </c>
      <c r="Y15" s="538">
        <f>IF(X$42=0,0,X15/X$42)</f>
        <v>0</v>
      </c>
      <c r="Z15" s="389">
        <f>Tuotantokustannusvertailu!AC146</f>
        <v>0</v>
      </c>
      <c r="AA15" s="540">
        <f>IF(Z$42=0,0,Z15/Z$42)</f>
        <v>0</v>
      </c>
      <c r="AC15" s="561">
        <f t="shared" ref="AC15:AC42" si="1">V15</f>
        <v>0</v>
      </c>
      <c r="AD15" s="561">
        <f t="shared" ref="AD15:AD42" si="2">X15</f>
        <v>0</v>
      </c>
      <c r="AE15" s="561">
        <f t="shared" ref="AE15:AE42" si="3">AC15-AD15</f>
        <v>0</v>
      </c>
      <c r="AF15" s="562" t="e">
        <f>AD15/AC15</f>
        <v>#DIV/0!</v>
      </c>
      <c r="AG15" s="564" t="e">
        <f>IF(AF15&lt;AG$13,"_","on pienempi kuin vertailulaskelmissa")</f>
        <v>#DIV/0!</v>
      </c>
      <c r="AH15" s="564" t="e">
        <f>IF(AF15&gt;AH$13,"_","on suurempi kuin vertailulaskelmissa")</f>
        <v>#DIV/0!</v>
      </c>
      <c r="AI15" s="564">
        <f t="shared" ref="AI15:AI42" si="4">IF(V15&lt;AI$13,1,0)</f>
        <v>1</v>
      </c>
      <c r="AK15" s="45" t="str">
        <f>T15</f>
        <v xml:space="preserve">   Säilörehu</v>
      </c>
      <c r="AL15" s="44" t="str">
        <f t="shared" ref="AL15:AL42" si="5">IF(AI15=0,IF(AF15&lt;1,AH15,AG15),"_")</f>
        <v>_</v>
      </c>
      <c r="AN15" s="245"/>
    </row>
    <row r="16" spans="1:59" ht="15" customHeight="1" thickTop="1" x14ac:dyDescent="0.35">
      <c r="B16" s="77" t="s">
        <v>356</v>
      </c>
      <c r="C16" s="39"/>
      <c r="D16" s="39"/>
      <c r="E16" s="733">
        <f>SUM(E17:E21)</f>
        <v>29</v>
      </c>
      <c r="F16" s="734" t="s">
        <v>352</v>
      </c>
      <c r="G16" s="734" t="s">
        <v>44</v>
      </c>
      <c r="H16" s="734" t="s">
        <v>353</v>
      </c>
      <c r="I16" s="734" t="s">
        <v>8</v>
      </c>
      <c r="K16" s="14" t="s">
        <v>478</v>
      </c>
      <c r="L16" s="36">
        <f>G19</f>
        <v>0</v>
      </c>
      <c r="M16" s="293">
        <f>'Rehujen tuotantokustannukset'!J7</f>
        <v>0</v>
      </c>
      <c r="N16" s="23">
        <f>N$14</f>
        <v>0</v>
      </c>
      <c r="O16" s="269">
        <f>IF(P$3="Tarkista",0,L16*M16*N16/P$3)</f>
        <v>0</v>
      </c>
      <c r="P16" s="297"/>
      <c r="Q16" s="19"/>
      <c r="S16" s="39"/>
      <c r="T16" s="68" t="str">
        <f>K15</f>
        <v xml:space="preserve">   Rehuvilja</v>
      </c>
      <c r="U16" s="39"/>
      <c r="V16" s="382">
        <f>IF(P$3="Tarkista",0,O15*(1-Q44)/(M$6/P$3))</f>
        <v>0</v>
      </c>
      <c r="W16" s="536">
        <f t="shared" ref="W16:W28" si="6">IF(V$42=0,0,V16/V$42)</f>
        <v>0</v>
      </c>
      <c r="X16" s="388">
        <f>Tuotantokustannusvertailu!N147</f>
        <v>0</v>
      </c>
      <c r="Y16" s="538">
        <f t="shared" ref="Y16:Y28" si="7">IF(X$42=0,0,X16/X$42)</f>
        <v>0</v>
      </c>
      <c r="Z16" s="389">
        <f>Tuotantokustannusvertailu!AC147</f>
        <v>0</v>
      </c>
      <c r="AA16" s="540">
        <f t="shared" ref="AA16:AA28" si="8">IF(Z$42=0,0,Z16/Z$42)</f>
        <v>0</v>
      </c>
      <c r="AC16" s="561">
        <f t="shared" si="1"/>
        <v>0</v>
      </c>
      <c r="AD16" s="561">
        <f t="shared" si="2"/>
        <v>0</v>
      </c>
      <c r="AE16" s="561">
        <f t="shared" si="3"/>
        <v>0</v>
      </c>
      <c r="AF16" s="562" t="e">
        <f>AD16/AC16</f>
        <v>#DIV/0!</v>
      </c>
      <c r="AG16" s="564" t="e">
        <f t="shared" ref="AG16:AG24" si="9">IF(AF16&lt;AG$13,"_","on pienempi kuin vertailulaskelmissa")</f>
        <v>#DIV/0!</v>
      </c>
      <c r="AH16" s="564" t="e">
        <f t="shared" ref="AH16:AH24" si="10">IF(AF16&gt;AH$13,"_","on suurempi kuin vertailulaskelmissa")</f>
        <v>#DIV/0!</v>
      </c>
      <c r="AI16" s="564">
        <f t="shared" si="4"/>
        <v>1</v>
      </c>
      <c r="AK16" s="45" t="str">
        <f t="shared" ref="AK16:AK28" si="11">T16</f>
        <v xml:space="preserve">   Rehuvilja</v>
      </c>
      <c r="AL16" s="44" t="str">
        <f t="shared" si="5"/>
        <v>_</v>
      </c>
      <c r="AN16" s="245"/>
    </row>
    <row r="17" spans="2:40" x14ac:dyDescent="0.35">
      <c r="B17" s="243" t="s">
        <v>421</v>
      </c>
      <c r="C17" s="735" t="s">
        <v>9</v>
      </c>
      <c r="D17" s="736"/>
      <c r="E17" s="737">
        <f>'Rehun käyttö, nettosato'!E17</f>
        <v>20</v>
      </c>
      <c r="F17" s="738">
        <f>'Rehun käyttö, nettosato'!M15</f>
        <v>8200</v>
      </c>
      <c r="G17" s="739">
        <f>E17*F17</f>
        <v>164000</v>
      </c>
      <c r="H17" s="739">
        <f>F17*Rehuntuotanto!J7</f>
        <v>91282.061855670094</v>
      </c>
      <c r="I17" s="740">
        <f>H17*E17</f>
        <v>1825641.2371134018</v>
      </c>
      <c r="K17" s="14" t="s">
        <v>479</v>
      </c>
      <c r="L17" s="36">
        <f>G20</f>
        <v>10000</v>
      </c>
      <c r="M17" s="293">
        <f>'Rehujen tuotantokustannukset'!J8</f>
        <v>0.49259631163817735</v>
      </c>
      <c r="N17" s="23">
        <f>N$14</f>
        <v>0</v>
      </c>
      <c r="O17" s="269">
        <f>IF(P$3="Tarkista",0,L17*M17*N17/P$3)</f>
        <v>0</v>
      </c>
      <c r="P17" s="297"/>
      <c r="Q17" s="19"/>
      <c r="S17" s="39"/>
      <c r="T17" s="68" t="str">
        <f>K16</f>
        <v xml:space="preserve">   Kokoviljasäilörehu</v>
      </c>
      <c r="U17" s="39"/>
      <c r="V17" s="382">
        <f>IF(P$3="Tarkista",0,O16*(1-Q45)/(M$6/P$3))</f>
        <v>0</v>
      </c>
      <c r="W17" s="536">
        <f t="shared" si="6"/>
        <v>0</v>
      </c>
      <c r="X17" s="388">
        <f>Tuotantokustannusvertailu!N148</f>
        <v>0</v>
      </c>
      <c r="Y17" s="538">
        <f t="shared" si="7"/>
        <v>0</v>
      </c>
      <c r="Z17" s="389">
        <f>Tuotantokustannusvertailu!AC148</f>
        <v>0</v>
      </c>
      <c r="AA17" s="540">
        <f t="shared" si="8"/>
        <v>0</v>
      </c>
      <c r="AC17" s="561"/>
      <c r="AD17" s="561"/>
      <c r="AE17" s="561"/>
      <c r="AF17" s="562"/>
      <c r="AG17" s="564" t="str">
        <f t="shared" si="9"/>
        <v>_</v>
      </c>
      <c r="AH17" s="564" t="str">
        <f t="shared" si="10"/>
        <v>on suurempi kuin vertailulaskelmissa</v>
      </c>
      <c r="AI17" s="564">
        <f t="shared" si="4"/>
        <v>1</v>
      </c>
      <c r="AK17" s="45" t="str">
        <f t="shared" si="11"/>
        <v xml:space="preserve">   Kokoviljasäilörehu</v>
      </c>
      <c r="AL17" s="44" t="str">
        <f t="shared" si="5"/>
        <v>_</v>
      </c>
      <c r="AN17" s="245"/>
    </row>
    <row r="18" spans="2:40" x14ac:dyDescent="0.35">
      <c r="B18" s="243" t="s">
        <v>422</v>
      </c>
      <c r="C18" s="735" t="s">
        <v>10</v>
      </c>
      <c r="D18" s="736"/>
      <c r="E18" s="737">
        <f>'Rehun käyttö, nettosato'!E18</f>
        <v>0</v>
      </c>
      <c r="F18" s="16">
        <f>Rehuntuotanto!I29</f>
        <v>0</v>
      </c>
      <c r="G18" s="36">
        <f>E18*F18</f>
        <v>0</v>
      </c>
      <c r="H18" s="36">
        <f>Rehuntuotanto!K29</f>
        <v>0</v>
      </c>
      <c r="I18" s="53">
        <f>H18*E18</f>
        <v>0</v>
      </c>
      <c r="K18" s="14" t="s">
        <v>480</v>
      </c>
      <c r="L18" s="36">
        <f>G21</f>
        <v>17200</v>
      </c>
      <c r="M18" s="293">
        <f>'Rehujen tuotantokustannukset'!J9</f>
        <v>0.22911456355264062</v>
      </c>
      <c r="N18" s="23">
        <f>N$14</f>
        <v>0</v>
      </c>
      <c r="O18" s="269">
        <f>IF(P$3="Tarkista",0,L18*M18*N18/P$3)</f>
        <v>0</v>
      </c>
      <c r="P18" s="297"/>
      <c r="Q18" s="19"/>
      <c r="S18" s="39"/>
      <c r="T18" s="68" t="str">
        <f>K17</f>
        <v xml:space="preserve">   Laidun</v>
      </c>
      <c r="U18" s="39"/>
      <c r="V18" s="382">
        <f>IF(P$3="Tarkista",0,O17*(1-Q46)/(M$6/P$3))</f>
        <v>0</v>
      </c>
      <c r="W18" s="536">
        <f t="shared" si="6"/>
        <v>0</v>
      </c>
      <c r="X18" s="388">
        <f>Tuotantokustannusvertailu!N149</f>
        <v>0</v>
      </c>
      <c r="Y18" s="538">
        <f t="shared" si="7"/>
        <v>0</v>
      </c>
      <c r="Z18" s="389">
        <f>Tuotantokustannusvertailu!AC149</f>
        <v>0</v>
      </c>
      <c r="AA18" s="540">
        <f t="shared" si="8"/>
        <v>0</v>
      </c>
      <c r="AC18" s="561"/>
      <c r="AD18" s="561"/>
      <c r="AE18" s="561"/>
      <c r="AF18" s="562"/>
      <c r="AG18" s="564" t="str">
        <f t="shared" si="9"/>
        <v>_</v>
      </c>
      <c r="AH18" s="564" t="str">
        <f t="shared" si="10"/>
        <v>on suurempi kuin vertailulaskelmissa</v>
      </c>
      <c r="AI18" s="564">
        <f t="shared" si="4"/>
        <v>1</v>
      </c>
      <c r="AK18" s="45" t="str">
        <f t="shared" si="11"/>
        <v xml:space="preserve">   Laidun</v>
      </c>
      <c r="AL18" s="44" t="str">
        <f t="shared" si="5"/>
        <v>_</v>
      </c>
      <c r="AN18" s="245"/>
    </row>
    <row r="19" spans="2:40" ht="15" customHeight="1" x14ac:dyDescent="0.35">
      <c r="B19" s="243" t="s">
        <v>423</v>
      </c>
      <c r="C19" s="735" t="s">
        <v>48</v>
      </c>
      <c r="D19" s="736"/>
      <c r="E19" s="737">
        <f>'Rehun käyttö, nettosato'!E19</f>
        <v>0</v>
      </c>
      <c r="F19" s="16">
        <f>Rehuntuotanto!I36</f>
        <v>0</v>
      </c>
      <c r="G19" s="36">
        <f>E19*F19</f>
        <v>0</v>
      </c>
      <c r="H19" s="36">
        <f>Rehuntuotanto!K36</f>
        <v>0</v>
      </c>
      <c r="I19" s="53">
        <f>H19*E19</f>
        <v>0</v>
      </c>
      <c r="K19" s="39"/>
      <c r="L19" s="39"/>
      <c r="M19" s="663" t="s">
        <v>75</v>
      </c>
      <c r="N19" s="316" t="s">
        <v>38</v>
      </c>
      <c r="O19" s="402" t="s">
        <v>484</v>
      </c>
      <c r="P19" s="297"/>
      <c r="Q19" s="19"/>
      <c r="S19" s="39"/>
      <c r="T19" s="68" t="str">
        <f>K18</f>
        <v xml:space="preserve">   Muut korsirehut</v>
      </c>
      <c r="U19" s="39"/>
      <c r="V19" s="382">
        <f>IF(P$3="Tarkista",0,O18*(1-Q47)/(M$6/P$3))</f>
        <v>0</v>
      </c>
      <c r="W19" s="536">
        <f t="shared" si="6"/>
        <v>0</v>
      </c>
      <c r="X19" s="388">
        <f>Tuotantokustannusvertailu!N150</f>
        <v>0</v>
      </c>
      <c r="Y19" s="538">
        <f t="shared" si="7"/>
        <v>0</v>
      </c>
      <c r="Z19" s="389">
        <f>Tuotantokustannusvertailu!AC150</f>
        <v>0</v>
      </c>
      <c r="AA19" s="540">
        <f t="shared" si="8"/>
        <v>0</v>
      </c>
      <c r="AC19" s="561"/>
      <c r="AD19" s="561"/>
      <c r="AE19" s="561"/>
      <c r="AF19" s="562"/>
      <c r="AG19" s="564" t="str">
        <f t="shared" si="9"/>
        <v>_</v>
      </c>
      <c r="AH19" s="564" t="str">
        <f t="shared" si="10"/>
        <v>on suurempi kuin vertailulaskelmissa</v>
      </c>
      <c r="AI19" s="564">
        <f t="shared" si="4"/>
        <v>1</v>
      </c>
      <c r="AK19" s="45" t="str">
        <f t="shared" si="11"/>
        <v xml:space="preserve">   Muut korsirehut</v>
      </c>
      <c r="AL19" s="44" t="str">
        <f t="shared" si="5"/>
        <v>_</v>
      </c>
      <c r="AN19" s="245"/>
    </row>
    <row r="20" spans="2:40" x14ac:dyDescent="0.35">
      <c r="B20" s="243" t="s">
        <v>424</v>
      </c>
      <c r="C20" s="735" t="s">
        <v>46</v>
      </c>
      <c r="D20" s="736"/>
      <c r="E20" s="737">
        <f>'Rehun käyttö, nettosato'!E20</f>
        <v>5</v>
      </c>
      <c r="F20" s="16">
        <f>Rehuntuotanto!I43</f>
        <v>2000</v>
      </c>
      <c r="G20" s="36">
        <f>E20*F20</f>
        <v>10000</v>
      </c>
      <c r="H20" s="36">
        <f>Rehuntuotanto!K43</f>
        <v>22000</v>
      </c>
      <c r="I20" s="53">
        <f>H20*E20</f>
        <v>110000</v>
      </c>
      <c r="K20" s="666" t="s">
        <v>47</v>
      </c>
      <c r="L20" s="667"/>
      <c r="M20" s="36">
        <f>Lähtötiedot!C19</f>
        <v>2000</v>
      </c>
      <c r="N20" s="23">
        <f t="shared" ref="N20:N26" si="12">N$14</f>
        <v>0</v>
      </c>
      <c r="O20" s="269">
        <f t="shared" ref="O20:O26" si="13">IF(P$3="Tarkista",0,M20*N20/P$3)</f>
        <v>0</v>
      </c>
      <c r="P20" s="297"/>
      <c r="Q20" s="19"/>
      <c r="S20" s="39"/>
      <c r="T20" s="68" t="str">
        <f t="shared" ref="T20:T28" si="14">K20</f>
        <v>Ostorehut</v>
      </c>
      <c r="U20" s="39"/>
      <c r="V20" s="382">
        <f>IF(P$3="Tarkista",0,O20*(1-Q43)/(M$6/P$3))</f>
        <v>0</v>
      </c>
      <c r="W20" s="536">
        <f t="shared" si="6"/>
        <v>0</v>
      </c>
      <c r="X20" s="388">
        <f>Tuotantokustannusvertailu!N151</f>
        <v>0</v>
      </c>
      <c r="Y20" s="538">
        <f t="shared" si="7"/>
        <v>0</v>
      </c>
      <c r="Z20" s="389">
        <f>Tuotantokustannusvertailu!AC151</f>
        <v>0</v>
      </c>
      <c r="AA20" s="540">
        <f t="shared" si="8"/>
        <v>0</v>
      </c>
      <c r="AC20" s="561">
        <f t="shared" si="1"/>
        <v>0</v>
      </c>
      <c r="AD20" s="561">
        <f t="shared" si="2"/>
        <v>0</v>
      </c>
      <c r="AE20" s="561">
        <f t="shared" si="3"/>
        <v>0</v>
      </c>
      <c r="AF20" s="562" t="e">
        <f t="shared" ref="AF20:AF28" si="15">AD20/AC20</f>
        <v>#DIV/0!</v>
      </c>
      <c r="AG20" s="564" t="e">
        <f t="shared" si="9"/>
        <v>#DIV/0!</v>
      </c>
      <c r="AH20" s="564" t="e">
        <f t="shared" si="10"/>
        <v>#DIV/0!</v>
      </c>
      <c r="AI20" s="564">
        <f t="shared" si="4"/>
        <v>1</v>
      </c>
      <c r="AK20" s="45" t="str">
        <f t="shared" si="11"/>
        <v>Ostorehut</v>
      </c>
      <c r="AL20" s="44" t="str">
        <f t="shared" si="5"/>
        <v>_</v>
      </c>
      <c r="AN20" s="245"/>
    </row>
    <row r="21" spans="2:40" ht="15" thickBot="1" x14ac:dyDescent="0.4">
      <c r="B21" s="243" t="s">
        <v>425</v>
      </c>
      <c r="C21" s="735" t="s">
        <v>348</v>
      </c>
      <c r="D21" s="736"/>
      <c r="E21" s="741">
        <f>'Rehun käyttö, nettosato'!E21</f>
        <v>4</v>
      </c>
      <c r="F21" s="16">
        <f>Rehuntuotanto!I50</f>
        <v>4300</v>
      </c>
      <c r="G21" s="36">
        <f>E21*F21</f>
        <v>17200</v>
      </c>
      <c r="H21" s="36">
        <f>Rehuntuotanto!K50</f>
        <v>45150</v>
      </c>
      <c r="I21" s="53">
        <f>H21*E21</f>
        <v>180600</v>
      </c>
      <c r="K21" s="877" t="s">
        <v>72</v>
      </c>
      <c r="L21" s="878"/>
      <c r="M21" s="36">
        <f>Lähtötiedot!C20</f>
        <v>600</v>
      </c>
      <c r="N21" s="23">
        <f t="shared" si="12"/>
        <v>0</v>
      </c>
      <c r="O21" s="269">
        <f t="shared" si="13"/>
        <v>0</v>
      </c>
      <c r="P21" s="297"/>
      <c r="Q21" s="19"/>
      <c r="S21" s="39"/>
      <c r="T21" s="68" t="str">
        <f t="shared" si="14"/>
        <v>Kivennäiset</v>
      </c>
      <c r="U21" s="39"/>
      <c r="V21" s="382">
        <f t="shared" ref="V21:V28" si="16">IF(P$3="Tarkista",0,O21*(1-Q44)/(M$6/P$3))</f>
        <v>0</v>
      </c>
      <c r="W21" s="536">
        <f t="shared" si="6"/>
        <v>0</v>
      </c>
      <c r="X21" s="388">
        <f>Tuotantokustannusvertailu!N152</f>
        <v>0</v>
      </c>
      <c r="Y21" s="538">
        <f t="shared" si="7"/>
        <v>0</v>
      </c>
      <c r="Z21" s="389">
        <f>Tuotantokustannusvertailu!AC152</f>
        <v>0</v>
      </c>
      <c r="AA21" s="540">
        <f t="shared" si="8"/>
        <v>0</v>
      </c>
      <c r="AC21" s="561">
        <f t="shared" si="1"/>
        <v>0</v>
      </c>
      <c r="AD21" s="561">
        <f t="shared" si="2"/>
        <v>0</v>
      </c>
      <c r="AE21" s="561">
        <f t="shared" si="3"/>
        <v>0</v>
      </c>
      <c r="AF21" s="562" t="e">
        <f t="shared" si="15"/>
        <v>#DIV/0!</v>
      </c>
      <c r="AG21" s="564" t="e">
        <f t="shared" si="9"/>
        <v>#DIV/0!</v>
      </c>
      <c r="AH21" s="564" t="e">
        <f t="shared" si="10"/>
        <v>#DIV/0!</v>
      </c>
      <c r="AI21" s="564">
        <f t="shared" si="4"/>
        <v>1</v>
      </c>
      <c r="AK21" s="45" t="str">
        <f t="shared" si="11"/>
        <v>Kivennäiset</v>
      </c>
      <c r="AL21" s="44" t="str">
        <f t="shared" si="5"/>
        <v>_</v>
      </c>
      <c r="AN21" s="245"/>
    </row>
    <row r="22" spans="2:40" ht="15.5" thickTop="1" thickBot="1" x14ac:dyDescent="0.4">
      <c r="B22" s="39" t="s">
        <v>14</v>
      </c>
      <c r="C22" s="39"/>
      <c r="D22" s="39"/>
      <c r="E22" s="742">
        <f>'Rehun käyttö, nettosato'!E22</f>
        <v>0</v>
      </c>
      <c r="F22" s="39"/>
      <c r="G22" s="743"/>
      <c r="H22" s="39"/>
      <c r="I22" s="39"/>
      <c r="K22" s="877" t="s">
        <v>481</v>
      </c>
      <c r="L22" s="878"/>
      <c r="M22" s="36">
        <f>Lähtötiedot!C21</f>
        <v>1500</v>
      </c>
      <c r="N22" s="23">
        <f t="shared" si="12"/>
        <v>0</v>
      </c>
      <c r="O22" s="269">
        <f t="shared" si="13"/>
        <v>0</v>
      </c>
      <c r="P22" s="297"/>
      <c r="Q22" s="19"/>
      <c r="S22" s="39"/>
      <c r="T22" s="68" t="str">
        <f t="shared" si="14"/>
        <v>Lääkintä</v>
      </c>
      <c r="U22" s="39"/>
      <c r="V22" s="382">
        <f t="shared" si="16"/>
        <v>0</v>
      </c>
      <c r="W22" s="536">
        <f t="shared" si="6"/>
        <v>0</v>
      </c>
      <c r="X22" s="388">
        <f>Tuotantokustannusvertailu!N153</f>
        <v>0</v>
      </c>
      <c r="Y22" s="538">
        <f t="shared" si="7"/>
        <v>0</v>
      </c>
      <c r="Z22" s="389">
        <f>Tuotantokustannusvertailu!AC153</f>
        <v>0</v>
      </c>
      <c r="AA22" s="540">
        <f t="shared" si="8"/>
        <v>0</v>
      </c>
      <c r="AC22" s="561">
        <f t="shared" si="1"/>
        <v>0</v>
      </c>
      <c r="AD22" s="561">
        <f t="shared" si="2"/>
        <v>0</v>
      </c>
      <c r="AE22" s="561">
        <f t="shared" si="3"/>
        <v>0</v>
      </c>
      <c r="AF22" s="562" t="e">
        <f t="shared" si="15"/>
        <v>#DIV/0!</v>
      </c>
      <c r="AG22" s="564" t="e">
        <f t="shared" si="9"/>
        <v>#DIV/0!</v>
      </c>
      <c r="AH22" s="564" t="e">
        <f t="shared" si="10"/>
        <v>#DIV/0!</v>
      </c>
      <c r="AI22" s="564">
        <f t="shared" si="4"/>
        <v>1</v>
      </c>
      <c r="AK22" s="45" t="str">
        <f t="shared" si="11"/>
        <v>Lääkintä</v>
      </c>
      <c r="AL22" s="44" t="str">
        <f t="shared" si="5"/>
        <v>_</v>
      </c>
      <c r="AN22" s="245"/>
    </row>
    <row r="23" spans="2:40" ht="15" thickBot="1" x14ac:dyDescent="0.4">
      <c r="B23" s="39" t="s">
        <v>16</v>
      </c>
      <c r="C23" s="39"/>
      <c r="D23" s="39"/>
      <c r="E23" s="428">
        <f>E22+E16</f>
        <v>29</v>
      </c>
      <c r="F23" s="39"/>
      <c r="G23" s="39"/>
      <c r="H23" s="39"/>
      <c r="I23" s="39"/>
      <c r="K23" s="877" t="s">
        <v>482</v>
      </c>
      <c r="L23" s="878"/>
      <c r="M23" s="36">
        <f>Lähtötiedot!C22</f>
        <v>2500</v>
      </c>
      <c r="N23" s="23">
        <f t="shared" si="12"/>
        <v>0</v>
      </c>
      <c r="O23" s="269">
        <f t="shared" si="13"/>
        <v>0</v>
      </c>
      <c r="P23" s="297"/>
      <c r="Q23" s="19"/>
      <c r="S23" s="39"/>
      <c r="T23" s="68" t="str">
        <f t="shared" si="14"/>
        <v>Siemennys, jalostus ym.</v>
      </c>
      <c r="U23" s="39"/>
      <c r="V23" s="382">
        <f t="shared" si="16"/>
        <v>0</v>
      </c>
      <c r="W23" s="536">
        <f t="shared" si="6"/>
        <v>0</v>
      </c>
      <c r="X23" s="388">
        <f>Tuotantokustannusvertailu!N154</f>
        <v>0</v>
      </c>
      <c r="Y23" s="538">
        <f t="shared" si="7"/>
        <v>0</v>
      </c>
      <c r="Z23" s="389">
        <f>Tuotantokustannusvertailu!AC154</f>
        <v>0</v>
      </c>
      <c r="AA23" s="540">
        <f t="shared" si="8"/>
        <v>0</v>
      </c>
      <c r="AC23" s="561">
        <f t="shared" si="1"/>
        <v>0</v>
      </c>
      <c r="AD23" s="561">
        <f t="shared" si="2"/>
        <v>0</v>
      </c>
      <c r="AE23" s="561">
        <f t="shared" si="3"/>
        <v>0</v>
      </c>
      <c r="AF23" s="562" t="e">
        <f t="shared" si="15"/>
        <v>#DIV/0!</v>
      </c>
      <c r="AG23" s="564" t="e">
        <f t="shared" si="9"/>
        <v>#DIV/0!</v>
      </c>
      <c r="AH23" s="564" t="e">
        <f t="shared" si="10"/>
        <v>#DIV/0!</v>
      </c>
      <c r="AI23" s="564">
        <f t="shared" si="4"/>
        <v>1</v>
      </c>
      <c r="AK23" s="45" t="str">
        <f t="shared" si="11"/>
        <v>Siemennys, jalostus ym.</v>
      </c>
      <c r="AL23" s="44" t="str">
        <f t="shared" si="5"/>
        <v>_</v>
      </c>
      <c r="AN23" s="245"/>
    </row>
    <row r="24" spans="2:40" x14ac:dyDescent="0.35">
      <c r="B24" s="39"/>
      <c r="C24" s="39"/>
      <c r="D24" s="39"/>
      <c r="E24" s="39"/>
      <c r="F24" s="39"/>
      <c r="G24" s="39"/>
      <c r="H24" s="39"/>
      <c r="I24" s="39"/>
      <c r="K24" s="877" t="s">
        <v>49</v>
      </c>
      <c r="L24" s="878"/>
      <c r="M24" s="36">
        <f>Lähtötiedot!C23</f>
        <v>1500</v>
      </c>
      <c r="N24" s="23">
        <f t="shared" si="12"/>
        <v>0</v>
      </c>
      <c r="O24" s="269">
        <f t="shared" si="13"/>
        <v>0</v>
      </c>
      <c r="P24" s="297"/>
      <c r="Q24" s="19"/>
      <c r="S24" s="39"/>
      <c r="T24" s="68" t="str">
        <f t="shared" si="14"/>
        <v>Kuivikkeet</v>
      </c>
      <c r="U24" s="39"/>
      <c r="V24" s="382">
        <f t="shared" si="16"/>
        <v>0</v>
      </c>
      <c r="W24" s="536">
        <f t="shared" si="6"/>
        <v>0</v>
      </c>
      <c r="X24" s="388">
        <f>Tuotantokustannusvertailu!N155</f>
        <v>0</v>
      </c>
      <c r="Y24" s="538">
        <f t="shared" si="7"/>
        <v>0</v>
      </c>
      <c r="Z24" s="389">
        <f>Tuotantokustannusvertailu!AC155</f>
        <v>0</v>
      </c>
      <c r="AA24" s="540">
        <f t="shared" si="8"/>
        <v>0</v>
      </c>
      <c r="AC24" s="561">
        <f t="shared" si="1"/>
        <v>0</v>
      </c>
      <c r="AD24" s="561">
        <f t="shared" si="2"/>
        <v>0</v>
      </c>
      <c r="AE24" s="561">
        <f t="shared" si="3"/>
        <v>0</v>
      </c>
      <c r="AF24" s="562" t="e">
        <f t="shared" si="15"/>
        <v>#DIV/0!</v>
      </c>
      <c r="AG24" s="564" t="e">
        <f t="shared" si="9"/>
        <v>#DIV/0!</v>
      </c>
      <c r="AH24" s="564" t="e">
        <f t="shared" si="10"/>
        <v>#DIV/0!</v>
      </c>
      <c r="AI24" s="564">
        <f t="shared" si="4"/>
        <v>1</v>
      </c>
      <c r="AK24" s="45" t="str">
        <f t="shared" si="11"/>
        <v>Kuivikkeet</v>
      </c>
      <c r="AL24" s="44" t="str">
        <f t="shared" si="5"/>
        <v>_</v>
      </c>
      <c r="AN24" s="245"/>
    </row>
    <row r="25" spans="2:40" x14ac:dyDescent="0.35">
      <c r="B25" s="39"/>
      <c r="C25" s="39"/>
      <c r="D25" s="39"/>
      <c r="E25" s="39"/>
      <c r="F25" s="39"/>
      <c r="G25" s="39"/>
      <c r="H25" s="39"/>
      <c r="I25" s="39"/>
      <c r="K25" s="879" t="s">
        <v>50</v>
      </c>
      <c r="L25" s="875"/>
      <c r="M25" s="36">
        <f>Lähtötiedot!C24</f>
        <v>3500</v>
      </c>
      <c r="N25" s="23">
        <f t="shared" si="12"/>
        <v>0</v>
      </c>
      <c r="O25" s="269">
        <f t="shared" si="13"/>
        <v>0</v>
      </c>
      <c r="P25" s="297"/>
      <c r="Q25" s="19"/>
      <c r="S25" s="39"/>
      <c r="T25" s="282" t="str">
        <f t="shared" si="14"/>
        <v>Muut muuttuvat kustannukset</v>
      </c>
      <c r="U25" s="39"/>
      <c r="V25" s="382">
        <f t="shared" si="16"/>
        <v>0</v>
      </c>
      <c r="W25" s="536">
        <f t="shared" si="6"/>
        <v>0</v>
      </c>
      <c r="X25" s="388">
        <f>Tuotantokustannusvertailu!N156</f>
        <v>0</v>
      </c>
      <c r="Y25" s="538">
        <f t="shared" si="7"/>
        <v>0</v>
      </c>
      <c r="Z25" s="389">
        <f>Tuotantokustannusvertailu!AC156</f>
        <v>0</v>
      </c>
      <c r="AA25" s="540">
        <f t="shared" si="8"/>
        <v>0</v>
      </c>
      <c r="AC25" s="561">
        <f t="shared" si="1"/>
        <v>0</v>
      </c>
      <c r="AD25" s="561">
        <f t="shared" si="2"/>
        <v>0</v>
      </c>
      <c r="AE25" s="561">
        <f t="shared" si="3"/>
        <v>0</v>
      </c>
      <c r="AF25" s="562" t="e">
        <f t="shared" si="15"/>
        <v>#DIV/0!</v>
      </c>
      <c r="AG25" s="564" t="e">
        <f>IF(AF25&lt;AG$13,"_","ovat pienemmät kuin vertailulaskelmassa")</f>
        <v>#DIV/0!</v>
      </c>
      <c r="AH25" s="564" t="e">
        <f>IF(AF25&gt;AH$13,"_","ovat suuremmat kuin vertailulaskelmassa")</f>
        <v>#DIV/0!</v>
      </c>
      <c r="AI25" s="564">
        <f t="shared" si="4"/>
        <v>1</v>
      </c>
      <c r="AK25" s="45" t="str">
        <f t="shared" si="11"/>
        <v>Muut muuttuvat kustannukset</v>
      </c>
      <c r="AL25" s="44" t="str">
        <f t="shared" si="5"/>
        <v>_</v>
      </c>
      <c r="AN25" s="245"/>
    </row>
    <row r="26" spans="2:40" x14ac:dyDescent="0.35">
      <c r="B26" s="77" t="s">
        <v>47</v>
      </c>
      <c r="C26" s="39"/>
      <c r="D26" s="39"/>
      <c r="E26" s="50" t="s">
        <v>358</v>
      </c>
      <c r="F26" s="50" t="s">
        <v>20</v>
      </c>
      <c r="G26" s="50" t="s">
        <v>21</v>
      </c>
      <c r="H26" s="50" t="s">
        <v>44</v>
      </c>
      <c r="I26" s="75" t="s">
        <v>22</v>
      </c>
      <c r="K26" s="877" t="s">
        <v>51</v>
      </c>
      <c r="L26" s="878"/>
      <c r="M26" s="36">
        <f>Lähtötiedot!C25</f>
        <v>0</v>
      </c>
      <c r="N26" s="23">
        <f t="shared" si="12"/>
        <v>0</v>
      </c>
      <c r="O26" s="269">
        <f t="shared" si="13"/>
        <v>0</v>
      </c>
      <c r="P26" s="297"/>
      <c r="Q26" s="19"/>
      <c r="S26" s="39"/>
      <c r="T26" s="68" t="str">
        <f t="shared" si="14"/>
        <v>Eläinten ostot</v>
      </c>
      <c r="U26" s="39"/>
      <c r="V26" s="382">
        <f t="shared" si="16"/>
        <v>0</v>
      </c>
      <c r="W26" s="536">
        <f t="shared" si="6"/>
        <v>0</v>
      </c>
      <c r="X26" s="388">
        <f>Tuotantokustannusvertailu!N157</f>
        <v>0</v>
      </c>
      <c r="Y26" s="538">
        <f t="shared" si="7"/>
        <v>0</v>
      </c>
      <c r="Z26" s="389">
        <f>Tuotantokustannusvertailu!AC157</f>
        <v>0</v>
      </c>
      <c r="AA26" s="540">
        <f t="shared" si="8"/>
        <v>0</v>
      </c>
      <c r="AC26" s="561">
        <f t="shared" si="1"/>
        <v>0</v>
      </c>
      <c r="AD26" s="561">
        <f t="shared" si="2"/>
        <v>0</v>
      </c>
      <c r="AE26" s="561">
        <f t="shared" si="3"/>
        <v>0</v>
      </c>
      <c r="AF26" s="562" t="e">
        <f t="shared" si="15"/>
        <v>#DIV/0!</v>
      </c>
      <c r="AG26" s="564" t="e">
        <f>IF(AF26&lt;AG$13,"_","ovat pienemmät kuin vertailulaskelmassa")</f>
        <v>#DIV/0!</v>
      </c>
      <c r="AH26" s="564" t="e">
        <f>IF(AF26&gt;AH$13,"_","ovat suuremmat kuin vertailulaskelmassa")</f>
        <v>#DIV/0!</v>
      </c>
      <c r="AI26" s="564">
        <f t="shared" si="4"/>
        <v>1</v>
      </c>
      <c r="AK26" s="45" t="str">
        <f t="shared" si="11"/>
        <v>Eläinten ostot</v>
      </c>
      <c r="AL26" s="44" t="str">
        <f t="shared" si="5"/>
        <v>_</v>
      </c>
      <c r="AN26" s="245"/>
    </row>
    <row r="27" spans="2:40" x14ac:dyDescent="0.35">
      <c r="B27" s="77"/>
      <c r="C27" s="744" t="s">
        <v>357</v>
      </c>
      <c r="D27" s="77"/>
      <c r="E27" s="36">
        <f>'Rehun käyttö, nettosato'!E26</f>
        <v>0</v>
      </c>
      <c r="F27" s="36">
        <f>'Rehun käyttö, nettosato'!F26</f>
        <v>2000</v>
      </c>
      <c r="G27" s="745">
        <f>IF(E27=0,0,F27/E27)</f>
        <v>0</v>
      </c>
      <c r="H27" s="53">
        <f>'Rehun käyttö, nettosato'!H26</f>
        <v>0</v>
      </c>
      <c r="I27" s="53">
        <f>'Rehun käyttö, nettosato'!I26</f>
        <v>0</v>
      </c>
      <c r="K27" s="291" t="s">
        <v>52</v>
      </c>
      <c r="L27" s="36">
        <f>Q27+O26</f>
        <v>1400</v>
      </c>
      <c r="M27" s="36">
        <f>L27*Q39</f>
        <v>70</v>
      </c>
      <c r="N27" s="22">
        <v>1</v>
      </c>
      <c r="O27" s="269">
        <f>IF(P$3="Tarkista",0,M27)</f>
        <v>0</v>
      </c>
      <c r="P27" s="297"/>
      <c r="Q27" s="24">
        <v>1400</v>
      </c>
      <c r="S27" s="39"/>
      <c r="T27" s="68" t="str">
        <f t="shared" si="14"/>
        <v>Eläinpääoman korko</v>
      </c>
      <c r="U27" s="55"/>
      <c r="V27" s="382">
        <f t="shared" si="16"/>
        <v>0</v>
      </c>
      <c r="W27" s="536">
        <f t="shared" si="6"/>
        <v>0</v>
      </c>
      <c r="X27" s="388">
        <f>Tuotantokustannusvertailu!N158</f>
        <v>0</v>
      </c>
      <c r="Y27" s="538">
        <f t="shared" si="7"/>
        <v>0</v>
      </c>
      <c r="Z27" s="389">
        <f>Tuotantokustannusvertailu!AC158</f>
        <v>0</v>
      </c>
      <c r="AA27" s="540">
        <f t="shared" si="8"/>
        <v>0</v>
      </c>
      <c r="AC27" s="561">
        <f t="shared" si="1"/>
        <v>0</v>
      </c>
      <c r="AD27" s="561">
        <f t="shared" si="2"/>
        <v>0</v>
      </c>
      <c r="AE27" s="561">
        <f t="shared" si="3"/>
        <v>0</v>
      </c>
      <c r="AF27" s="562" t="e">
        <f t="shared" si="15"/>
        <v>#DIV/0!</v>
      </c>
      <c r="AG27" s="564" t="e">
        <f>IF(AF27&lt;AG$13,"_","on pienempi kuin vertailulaskelmissa")</f>
        <v>#DIV/0!</v>
      </c>
      <c r="AH27" s="564" t="e">
        <f>IF(AF27&gt;AH$13,"_","on suurempi kuin vertailulaskelmissa")</f>
        <v>#DIV/0!</v>
      </c>
      <c r="AI27" s="564">
        <f t="shared" si="4"/>
        <v>1</v>
      </c>
      <c r="AK27" s="45" t="str">
        <f t="shared" si="11"/>
        <v>Eläinpääoman korko</v>
      </c>
      <c r="AL27" s="44" t="str">
        <f t="shared" si="5"/>
        <v>_</v>
      </c>
      <c r="AN27" s="245"/>
    </row>
    <row r="28" spans="2:40" x14ac:dyDescent="0.35">
      <c r="B28" s="77"/>
      <c r="C28" s="744" t="s">
        <v>360</v>
      </c>
      <c r="D28" s="39"/>
      <c r="E28" s="36">
        <f>'Rehun käyttö, nettosato'!E27</f>
        <v>0</v>
      </c>
      <c r="F28" s="36">
        <f>'Rehun käyttö, nettosato'!F27</f>
        <v>0</v>
      </c>
      <c r="G28" s="745">
        <f>IF(E28=0,0,F28/E28)</f>
        <v>0</v>
      </c>
      <c r="H28" s="53">
        <f>'Rehun käyttö, nettosato'!H27</f>
        <v>0</v>
      </c>
      <c r="I28" s="53">
        <f>'Rehun käyttö, nettosato'!I27</f>
        <v>0</v>
      </c>
      <c r="K28" s="291" t="s">
        <v>53</v>
      </c>
      <c r="L28" s="36">
        <f>SUM(O12:O18,O21:O25,O31:O32)*Q28</f>
        <v>0</v>
      </c>
      <c r="M28" s="36">
        <f>L28*Q39</f>
        <v>0</v>
      </c>
      <c r="N28" s="22">
        <v>1</v>
      </c>
      <c r="O28" s="269">
        <f>IF(P$3="Tarkista",0,M28)</f>
        <v>0</v>
      </c>
      <c r="P28" s="297"/>
      <c r="Q28" s="23">
        <v>0.6</v>
      </c>
      <c r="S28" s="39"/>
      <c r="T28" s="68" t="str">
        <f t="shared" si="14"/>
        <v>Liikepääoman korko</v>
      </c>
      <c r="U28" s="73"/>
      <c r="V28" s="382">
        <f t="shared" si="16"/>
        <v>0</v>
      </c>
      <c r="W28" s="536">
        <f t="shared" si="6"/>
        <v>0</v>
      </c>
      <c r="X28" s="388">
        <f>Tuotantokustannusvertailu!N159</f>
        <v>0</v>
      </c>
      <c r="Y28" s="538">
        <f t="shared" si="7"/>
        <v>0</v>
      </c>
      <c r="Z28" s="389">
        <f>Tuotantokustannusvertailu!AC159</f>
        <v>0</v>
      </c>
      <c r="AA28" s="540">
        <f t="shared" si="8"/>
        <v>0</v>
      </c>
      <c r="AC28" s="561">
        <f t="shared" si="1"/>
        <v>0</v>
      </c>
      <c r="AD28" s="561">
        <f t="shared" si="2"/>
        <v>0</v>
      </c>
      <c r="AE28" s="561">
        <f t="shared" si="3"/>
        <v>0</v>
      </c>
      <c r="AF28" s="562" t="e">
        <f t="shared" si="15"/>
        <v>#DIV/0!</v>
      </c>
      <c r="AG28" s="564" t="e">
        <f>IF(AF28&lt;AG$13,"_","on pienempi kuin vertailulaskelmissa")</f>
        <v>#DIV/0!</v>
      </c>
      <c r="AH28" s="564" t="e">
        <f>IF(AF28&gt;AH$13,"_","on suurempi kuin vertailulaskelmissa")</f>
        <v>#DIV/0!</v>
      </c>
      <c r="AI28" s="564">
        <f t="shared" si="4"/>
        <v>1</v>
      </c>
      <c r="AK28" s="45" t="str">
        <f t="shared" si="11"/>
        <v>Liikepääoman korko</v>
      </c>
      <c r="AL28" s="44" t="str">
        <f t="shared" si="5"/>
        <v>_</v>
      </c>
      <c r="AN28" s="245"/>
    </row>
    <row r="29" spans="2:40" x14ac:dyDescent="0.35">
      <c r="B29" s="77"/>
      <c r="C29" s="744" t="s">
        <v>359</v>
      </c>
      <c r="D29" s="77"/>
      <c r="E29" s="36">
        <f>'Rehun käyttö, nettosato'!E28</f>
        <v>0</v>
      </c>
      <c r="F29" s="36">
        <f>'Rehun käyttö, nettosato'!F28</f>
        <v>600</v>
      </c>
      <c r="G29" s="745">
        <f>IF(E29=0,0,F29/E29)</f>
        <v>0</v>
      </c>
      <c r="H29" s="39"/>
      <c r="I29" s="730"/>
      <c r="K29" s="19"/>
      <c r="L29" s="19"/>
      <c r="M29" s="19"/>
      <c r="N29" s="19"/>
      <c r="O29" s="273"/>
      <c r="P29" s="297"/>
      <c r="Q29" s="19"/>
      <c r="S29" s="39"/>
      <c r="T29" s="39"/>
      <c r="U29" s="39"/>
      <c r="V29" s="382"/>
      <c r="W29" s="537"/>
      <c r="X29" s="388"/>
      <c r="Y29" s="539"/>
      <c r="Z29" s="389"/>
      <c r="AA29" s="541"/>
      <c r="AC29" s="561"/>
      <c r="AD29" s="561"/>
      <c r="AE29" s="561"/>
      <c r="AF29" s="562"/>
      <c r="AN29" s="245"/>
    </row>
    <row r="30" spans="2:40" ht="15.5" x14ac:dyDescent="0.35">
      <c r="B30" s="77"/>
      <c r="C30" s="77"/>
      <c r="D30" s="39"/>
      <c r="E30" s="39"/>
      <c r="F30" s="39"/>
      <c r="G30" s="623"/>
      <c r="H30" s="39"/>
      <c r="I30" s="730"/>
      <c r="K30" s="51" t="s">
        <v>54</v>
      </c>
      <c r="L30" s="74" t="s">
        <v>55</v>
      </c>
      <c r="M30" s="663" t="s">
        <v>20</v>
      </c>
      <c r="N30" s="316" t="s">
        <v>38</v>
      </c>
      <c r="O30" s="402" t="s">
        <v>484</v>
      </c>
      <c r="P30" s="34" t="s">
        <v>466</v>
      </c>
      <c r="Q30" s="34" t="s">
        <v>512</v>
      </c>
      <c r="S30" s="61" t="s">
        <v>54</v>
      </c>
      <c r="T30" s="39"/>
      <c r="U30" s="39"/>
      <c r="V30" s="527">
        <f>SUM(V31:V32)</f>
        <v>0</v>
      </c>
      <c r="W30" s="63">
        <f>IF(V$42=0,0,V30/V$42)</f>
        <v>0</v>
      </c>
      <c r="X30" s="530">
        <f>SUM(X31:X32)</f>
        <v>0</v>
      </c>
      <c r="Y30" s="65">
        <f>IF(X$42=0,0,X30/X$42)</f>
        <v>0</v>
      </c>
      <c r="Z30" s="531">
        <f>SUM(Z31:Z32)</f>
        <v>0</v>
      </c>
      <c r="AA30" s="67">
        <f>IF(Z$42=0,0,Z30/Z$42)</f>
        <v>0</v>
      </c>
      <c r="AC30" s="561">
        <f t="shared" si="1"/>
        <v>0</v>
      </c>
      <c r="AD30" s="561">
        <f t="shared" si="2"/>
        <v>0</v>
      </c>
      <c r="AE30" s="561">
        <f t="shared" si="3"/>
        <v>0</v>
      </c>
      <c r="AF30" s="562" t="e">
        <f>AD30/AC30</f>
        <v>#DIV/0!</v>
      </c>
      <c r="AG30" s="564" t="e">
        <f>IF(AF30&lt;AG$13,"_","on pienempi kuin vertailulaskelmissa")</f>
        <v>#DIV/0!</v>
      </c>
      <c r="AH30" s="564" t="e">
        <f>IF(AF30&gt;AH$13,"_","on suurempi kuin vertailulaskelmissa")</f>
        <v>#DIV/0!</v>
      </c>
      <c r="AI30" s="564">
        <f t="shared" si="4"/>
        <v>1</v>
      </c>
      <c r="AK30" s="45" t="str">
        <f>S30</f>
        <v>Työkustannus</v>
      </c>
      <c r="AL30" s="44" t="str">
        <f t="shared" si="5"/>
        <v>_</v>
      </c>
      <c r="AN30" s="245"/>
    </row>
    <row r="31" spans="2:40" x14ac:dyDescent="0.35">
      <c r="B31" s="77" t="s">
        <v>28</v>
      </c>
      <c r="C31" s="39"/>
      <c r="D31" s="39"/>
      <c r="E31" s="50" t="s">
        <v>27</v>
      </c>
      <c r="F31" s="50" t="s">
        <v>20</v>
      </c>
      <c r="G31" s="50" t="s">
        <v>25</v>
      </c>
      <c r="H31" s="39"/>
      <c r="I31" s="75" t="s">
        <v>22</v>
      </c>
      <c r="K31" s="17" t="s">
        <v>56</v>
      </c>
      <c r="L31" s="215">
        <f>Lähtötiedot!G20-L32</f>
        <v>0</v>
      </c>
      <c r="M31" s="36">
        <f>L31*365*P31</f>
        <v>0</v>
      </c>
      <c r="N31" s="22">
        <v>1</v>
      </c>
      <c r="O31" s="269">
        <f>IF(P$3="Tarkista",0,M31*N31/P$3)</f>
        <v>0</v>
      </c>
      <c r="P31" s="293">
        <f>'Säilörehun tuotantokustannus'!$P$26</f>
        <v>17</v>
      </c>
      <c r="Q31" s="215">
        <f>IF(P31=0,0,O31/P31)</f>
        <v>0</v>
      </c>
      <c r="S31" s="39"/>
      <c r="T31" s="39" t="s">
        <v>243</v>
      </c>
      <c r="U31" s="39"/>
      <c r="V31" s="382">
        <f>IF(P$3="Tarkista",0,O31*(1-Q54)/(M$6/P$3))</f>
        <v>0</v>
      </c>
      <c r="W31" s="536">
        <f>IF(V$42=0,0,V31/V$42)</f>
        <v>0</v>
      </c>
      <c r="X31" s="388">
        <f>Tuotantokustannusvertailu!N162</f>
        <v>0</v>
      </c>
      <c r="Y31" s="538">
        <f>IF(X$42=0,0,X31/X$42)</f>
        <v>0</v>
      </c>
      <c r="Z31" s="389">
        <f>Tuotantokustannusvertailu!AC162</f>
        <v>0</v>
      </c>
      <c r="AA31" s="540">
        <f>IF(Z$42=0,0,Z31/Z$42)</f>
        <v>0</v>
      </c>
      <c r="AC31" s="561">
        <f t="shared" si="1"/>
        <v>0</v>
      </c>
      <c r="AD31" s="561">
        <f t="shared" si="2"/>
        <v>0</v>
      </c>
      <c r="AE31" s="561">
        <f t="shared" si="3"/>
        <v>0</v>
      </c>
      <c r="AF31" s="562" t="e">
        <f>AD31/AC31</f>
        <v>#DIV/0!</v>
      </c>
      <c r="AG31" s="564" t="e">
        <f>IF(AF31&lt;AG$13,"_","on pienempi kuin vertailulaskelmissa")</f>
        <v>#DIV/0!</v>
      </c>
      <c r="AH31" s="564" t="e">
        <f>IF(AF31&gt;AH$13,"_","on suurempi kuin vertailulaskelmissa")</f>
        <v>#DIV/0!</v>
      </c>
      <c r="AI31" s="564">
        <f t="shared" si="4"/>
        <v>1</v>
      </c>
      <c r="AK31" s="45" t="str">
        <f>T31</f>
        <v>Yrittäjäperheen työkust.</v>
      </c>
      <c r="AL31" s="44" t="str">
        <f t="shared" si="5"/>
        <v>_</v>
      </c>
      <c r="AN31" s="245"/>
    </row>
    <row r="32" spans="2:40" x14ac:dyDescent="0.35">
      <c r="B32" s="39"/>
      <c r="C32" s="300" t="s">
        <v>361</v>
      </c>
      <c r="D32" s="640"/>
      <c r="E32" s="36">
        <f>'Rehun käyttö, nettosato'!E31</f>
        <v>0</v>
      </c>
      <c r="F32" s="36">
        <f>'Rehun käyttö, nettosato'!F31</f>
        <v>0</v>
      </c>
      <c r="G32" s="745">
        <f>IF(E32=0,0,F32/E32)</f>
        <v>0</v>
      </c>
      <c r="H32" s="39"/>
      <c r="I32" s="53">
        <f>'Rehun käyttö, nettosato'!I31</f>
        <v>0</v>
      </c>
      <c r="K32" s="17" t="s">
        <v>61</v>
      </c>
      <c r="L32" s="215">
        <f>Lähtötiedot!H24/365</f>
        <v>0</v>
      </c>
      <c r="M32" s="24">
        <f>L32*365*P32</f>
        <v>0</v>
      </c>
      <c r="N32" s="22">
        <v>1</v>
      </c>
      <c r="O32" s="269">
        <f>IF(P$3="Tarkista",0,M32*N32/P$3)</f>
        <v>0</v>
      </c>
      <c r="P32" s="293">
        <f>'Säilörehun tuotantokustannus'!$P$27</f>
        <v>15</v>
      </c>
      <c r="Q32" s="215">
        <f>IF(P32=0,0,O32/P32)</f>
        <v>0</v>
      </c>
      <c r="S32" s="39"/>
      <c r="T32" s="39" t="s">
        <v>62</v>
      </c>
      <c r="U32" s="39"/>
      <c r="V32" s="382">
        <f>IF(P$3="Tarkista",0,O32*(1-Q55)/(M$6/P$3))</f>
        <v>0</v>
      </c>
      <c r="W32" s="536">
        <f>IF(V$42=0,0,V32/V$42)</f>
        <v>0</v>
      </c>
      <c r="X32" s="388">
        <f>Tuotantokustannusvertailu!N163</f>
        <v>0</v>
      </c>
      <c r="Y32" s="538">
        <f>IF(X$42=0,0,X32/X$42)</f>
        <v>0</v>
      </c>
      <c r="Z32" s="389">
        <f>Tuotantokustannusvertailu!AC163</f>
        <v>0</v>
      </c>
      <c r="AA32" s="540">
        <f>IF(Z$42=0,0,Z32/Z$42)</f>
        <v>0</v>
      </c>
      <c r="AC32" s="561">
        <f t="shared" si="1"/>
        <v>0</v>
      </c>
      <c r="AD32" s="561">
        <f t="shared" si="2"/>
        <v>0</v>
      </c>
      <c r="AE32" s="561">
        <f t="shared" si="3"/>
        <v>0</v>
      </c>
      <c r="AF32" s="562" t="e">
        <f>AD32/AC32</f>
        <v>#DIV/0!</v>
      </c>
      <c r="AG32" s="564" t="e">
        <f>IF(AF32&lt;AG$13,"_","on pienempi kuin vertailulaskelmissa")</f>
        <v>#DIV/0!</v>
      </c>
      <c r="AH32" s="564" t="e">
        <f>IF(AF32&gt;AH$13,"_","on suurempi kuin vertailulaskelmissa")</f>
        <v>#DIV/0!</v>
      </c>
      <c r="AI32" s="564">
        <f t="shared" si="4"/>
        <v>1</v>
      </c>
      <c r="AK32" s="45" t="str">
        <f>T32</f>
        <v>Palkkatyökustannus</v>
      </c>
      <c r="AL32" s="44" t="str">
        <f t="shared" si="5"/>
        <v>_</v>
      </c>
      <c r="AN32" s="245"/>
    </row>
    <row r="33" spans="2:40" x14ac:dyDescent="0.35">
      <c r="B33" s="39"/>
      <c r="C33" s="300" t="s">
        <v>362</v>
      </c>
      <c r="D33" s="640"/>
      <c r="E33" s="36">
        <f>'Rehun käyttö, nettosato'!E32</f>
        <v>0</v>
      </c>
      <c r="F33" s="36">
        <f>'Rehun käyttö, nettosato'!F32</f>
        <v>0</v>
      </c>
      <c r="G33" s="745">
        <f>IF(E33=0,0,F33/E33)</f>
        <v>0</v>
      </c>
      <c r="H33" s="39"/>
      <c r="I33" s="53">
        <f>'Rehun käyttö, nettosato'!I32</f>
        <v>0</v>
      </c>
      <c r="K33" s="19"/>
      <c r="L33" s="19"/>
      <c r="M33" s="19"/>
      <c r="N33" s="19"/>
      <c r="O33" s="273"/>
      <c r="P33" s="297"/>
      <c r="Q33" s="19"/>
      <c r="S33" s="39"/>
      <c r="T33" s="39"/>
      <c r="U33" s="39"/>
      <c r="V33" s="382"/>
      <c r="W33" s="537"/>
      <c r="X33" s="388"/>
      <c r="Y33" s="539"/>
      <c r="Z33" s="389"/>
      <c r="AA33" s="541"/>
      <c r="AC33" s="561"/>
      <c r="AD33" s="561"/>
      <c r="AE33" s="561"/>
      <c r="AF33" s="562"/>
      <c r="AK33" s="45"/>
      <c r="AN33" s="245"/>
    </row>
    <row r="34" spans="2:40" ht="16" thickBot="1" x14ac:dyDescent="0.4">
      <c r="B34" s="39"/>
      <c r="C34" s="746" t="s">
        <v>419</v>
      </c>
      <c r="D34" s="640"/>
      <c r="E34" s="36">
        <f>'Rehun käyttö, nettosato'!E33</f>
        <v>0</v>
      </c>
      <c r="F34" s="36">
        <f>'Rehun käyttö, nettosato'!F33</f>
        <v>0</v>
      </c>
      <c r="G34" s="745">
        <f>IF(E34=0,0,F34/E34)</f>
        <v>0</v>
      </c>
      <c r="H34" s="39"/>
      <c r="I34" s="53">
        <f>'Rehun käyttö, nettosato'!I33</f>
        <v>0</v>
      </c>
      <c r="K34" s="51" t="s">
        <v>63</v>
      </c>
      <c r="L34" s="19"/>
      <c r="M34" s="21"/>
      <c r="N34" s="20"/>
      <c r="O34" s="391"/>
      <c r="P34" s="297"/>
      <c r="Q34" s="19"/>
      <c r="S34" s="39"/>
      <c r="T34" s="39"/>
      <c r="U34" s="39"/>
      <c r="V34" s="382"/>
      <c r="W34" s="537"/>
      <c r="X34" s="388"/>
      <c r="Y34" s="539"/>
      <c r="Z34" s="389"/>
      <c r="AA34" s="541"/>
      <c r="AC34" s="561"/>
      <c r="AD34" s="561"/>
      <c r="AE34" s="561"/>
      <c r="AF34" s="562"/>
      <c r="AK34" s="45"/>
      <c r="AN34" s="245"/>
    </row>
    <row r="35" spans="2:40" ht="15" thickTop="1" x14ac:dyDescent="0.35">
      <c r="B35" s="39"/>
      <c r="C35" s="39"/>
      <c r="D35" s="56" t="s">
        <v>31</v>
      </c>
      <c r="E35" s="39"/>
      <c r="F35" s="39"/>
      <c r="G35" s="39"/>
      <c r="H35" s="39"/>
      <c r="I35" s="53">
        <f>SUM(I32:I34)</f>
        <v>0</v>
      </c>
      <c r="K35" s="277" t="s">
        <v>64</v>
      </c>
      <c r="L35" s="292" t="s">
        <v>769</v>
      </c>
      <c r="M35" s="663" t="s">
        <v>20</v>
      </c>
      <c r="N35" s="316" t="s">
        <v>38</v>
      </c>
      <c r="O35" s="402" t="s">
        <v>484</v>
      </c>
      <c r="P35" s="297"/>
      <c r="Q35" s="34" t="s">
        <v>470</v>
      </c>
      <c r="S35" s="61" t="s">
        <v>63</v>
      </c>
      <c r="T35" s="39"/>
      <c r="U35" s="39"/>
      <c r="V35" s="527">
        <f>SUM(V36:V40)</f>
        <v>0</v>
      </c>
      <c r="W35" s="63">
        <f t="shared" ref="W35:W40" si="17">IF(V$42=0,0,V35/V$42)</f>
        <v>0</v>
      </c>
      <c r="X35" s="530">
        <f>SUM(X36:X40)</f>
        <v>0</v>
      </c>
      <c r="Y35" s="65">
        <f t="shared" ref="Y35:Y40" si="18">IF(X$42=0,0,X35/X$42)</f>
        <v>0</v>
      </c>
      <c r="Z35" s="531">
        <f>SUM(Z36:Z40)</f>
        <v>0</v>
      </c>
      <c r="AA35" s="67">
        <f t="shared" ref="AA35:AA40" si="19">IF(Z$42=0,0,Z35/Z$42)</f>
        <v>0</v>
      </c>
      <c r="AC35" s="561">
        <f t="shared" si="1"/>
        <v>0</v>
      </c>
      <c r="AD35" s="561">
        <f t="shared" si="2"/>
        <v>0</v>
      </c>
      <c r="AE35" s="561">
        <f t="shared" si="3"/>
        <v>0</v>
      </c>
      <c r="AF35" s="562" t="e">
        <f t="shared" ref="AF35:AF40" si="20">AD35/AC35</f>
        <v>#DIV/0!</v>
      </c>
      <c r="AG35" s="564" t="e">
        <f>IF(AF35&lt;AG$13,"_","ovat pienemmät kuin vertailulaskelmassa")</f>
        <v>#DIV/0!</v>
      </c>
      <c r="AH35" s="564" t="e">
        <f>IF(AF35&gt;AH$13,"_","ovat suuremmat kuin vertailulaskelmassa")</f>
        <v>#DIV/0!</v>
      </c>
      <c r="AI35" s="564">
        <f t="shared" si="4"/>
        <v>1</v>
      </c>
      <c r="AK35" s="45" t="str">
        <f>S35</f>
        <v>Kiinteät kustannukset</v>
      </c>
      <c r="AL35" s="44" t="str">
        <f t="shared" si="5"/>
        <v>_</v>
      </c>
      <c r="AN35" s="245"/>
    </row>
    <row r="36" spans="2:40" ht="15" thickBot="1" x14ac:dyDescent="0.4">
      <c r="C36" s="39"/>
      <c r="D36" s="39"/>
      <c r="E36" s="39"/>
      <c r="F36" s="39"/>
      <c r="G36" s="39"/>
      <c r="H36" s="39"/>
      <c r="I36" s="39"/>
      <c r="K36" s="278" t="s">
        <v>474</v>
      </c>
      <c r="L36" s="431">
        <f>Lähtötiedot!M19</f>
        <v>70000</v>
      </c>
      <c r="M36" s="16">
        <f>L36/Lähtötiedot!L19</f>
        <v>4666.666666666667</v>
      </c>
      <c r="N36" s="23">
        <f>N$14</f>
        <v>0</v>
      </c>
      <c r="O36" s="269">
        <f>IF(P$3="Tarkista",0,M36*N36/P$3)</f>
        <v>0</v>
      </c>
      <c r="P36" s="297"/>
      <c r="Q36" s="266">
        <v>0.03</v>
      </c>
      <c r="S36" s="39"/>
      <c r="T36" s="39" t="s">
        <v>67</v>
      </c>
      <c r="U36" s="39"/>
      <c r="V36" s="382">
        <f>IF(P$3="Tarkista",0,O36*(1-Q59)/(M$6/P$3))</f>
        <v>0</v>
      </c>
      <c r="W36" s="536">
        <f t="shared" si="17"/>
        <v>0</v>
      </c>
      <c r="X36" s="388">
        <f>Tuotantokustannusvertailu!N167</f>
        <v>0</v>
      </c>
      <c r="Y36" s="538">
        <f t="shared" si="18"/>
        <v>0</v>
      </c>
      <c r="Z36" s="389">
        <f>Tuotantokustannusvertailu!AC167</f>
        <v>0</v>
      </c>
      <c r="AA36" s="540">
        <f t="shared" si="19"/>
        <v>0</v>
      </c>
      <c r="AC36" s="561">
        <f t="shared" si="1"/>
        <v>0</v>
      </c>
      <c r="AD36" s="561">
        <f t="shared" si="2"/>
        <v>0</v>
      </c>
      <c r="AE36" s="561">
        <f t="shared" si="3"/>
        <v>0</v>
      </c>
      <c r="AF36" s="562" t="e">
        <f t="shared" si="20"/>
        <v>#DIV/0!</v>
      </c>
      <c r="AG36" s="564" t="e">
        <f>IF(AF36&lt;AG$13,"_","ovat pienemmät kuin vertailulaskelmassa")</f>
        <v>#DIV/0!</v>
      </c>
      <c r="AH36" s="564" t="e">
        <f>IF(AF36&gt;AH$13,"_","ovat suuremmat kuin vertailulaskelmassa")</f>
        <v>#DIV/0!</v>
      </c>
      <c r="AI36" s="564">
        <f t="shared" si="4"/>
        <v>1</v>
      </c>
      <c r="AK36" s="45" t="str">
        <f>T36</f>
        <v>Konepoistot</v>
      </c>
      <c r="AL36" s="44" t="str">
        <f t="shared" si="5"/>
        <v>_</v>
      </c>
      <c r="AN36" s="245"/>
    </row>
    <row r="37" spans="2:40" ht="15" thickBot="1" x14ac:dyDescent="0.4">
      <c r="B37" s="77" t="s">
        <v>33</v>
      </c>
      <c r="C37" s="39"/>
      <c r="D37" s="39"/>
      <c r="E37" s="39"/>
      <c r="F37" s="39"/>
      <c r="G37" s="39"/>
      <c r="H37" s="749">
        <f>1-I12/I37</f>
        <v>4.5520351340867515E-3</v>
      </c>
      <c r="I37" s="747">
        <f>SUM(I17:I28)-I35</f>
        <v>2116241.2371134018</v>
      </c>
      <c r="K37" s="279" t="s">
        <v>68</v>
      </c>
      <c r="L37" s="432">
        <f>Lähtötiedot!M20</f>
        <v>120000</v>
      </c>
      <c r="M37" s="16">
        <f>L37/Lähtötiedot!L20</f>
        <v>8000</v>
      </c>
      <c r="N37" s="23">
        <f>N$14</f>
        <v>0</v>
      </c>
      <c r="O37" s="269">
        <f>IF(P$3="Tarkista",0,M37*N37/P$3)</f>
        <v>0</v>
      </c>
      <c r="P37" s="297"/>
      <c r="Q37" s="266">
        <v>0.01</v>
      </c>
      <c r="S37" s="39"/>
      <c r="T37" s="39" t="s">
        <v>69</v>
      </c>
      <c r="U37" s="39"/>
      <c r="V37" s="382">
        <f>IF(P$3="Tarkista",0,O37*(1-Q60)/(M$6/P$3))</f>
        <v>0</v>
      </c>
      <c r="W37" s="536">
        <f t="shared" si="17"/>
        <v>0</v>
      </c>
      <c r="X37" s="388">
        <f>Tuotantokustannusvertailu!N168</f>
        <v>0</v>
      </c>
      <c r="Y37" s="538">
        <f t="shared" si="18"/>
        <v>0</v>
      </c>
      <c r="Z37" s="389">
        <f>Tuotantokustannusvertailu!AC168</f>
        <v>0</v>
      </c>
      <c r="AA37" s="540">
        <f t="shared" si="19"/>
        <v>0</v>
      </c>
      <c r="AC37" s="561">
        <f t="shared" si="1"/>
        <v>0</v>
      </c>
      <c r="AD37" s="561">
        <f t="shared" si="2"/>
        <v>0</v>
      </c>
      <c r="AE37" s="561">
        <f t="shared" si="3"/>
        <v>0</v>
      </c>
      <c r="AF37" s="562" t="e">
        <f t="shared" si="20"/>
        <v>#DIV/0!</v>
      </c>
      <c r="AG37" s="564" t="e">
        <f>IF(AF37&lt;AG$13,"_","ovat pienemmät kuin vertailulaskelmassa")</f>
        <v>#DIV/0!</v>
      </c>
      <c r="AH37" s="564" t="e">
        <f>IF(AF37&gt;AH$13,"_","ovat suuremmat kuin vertailulaskelmassa")</f>
        <v>#DIV/0!</v>
      </c>
      <c r="AI37" s="564">
        <f t="shared" si="4"/>
        <v>1</v>
      </c>
      <c r="AK37" s="45" t="str">
        <f>T37</f>
        <v>Rakennuspoistot</v>
      </c>
      <c r="AL37" s="44" t="str">
        <f t="shared" si="5"/>
        <v>_</v>
      </c>
      <c r="AN37" s="245"/>
    </row>
    <row r="38" spans="2:40" x14ac:dyDescent="0.35">
      <c r="B38" s="78"/>
      <c r="C38" s="78"/>
      <c r="D38" s="78"/>
      <c r="E38" s="79"/>
      <c r="F38" s="398"/>
      <c r="G38" s="399"/>
      <c r="H38" s="400"/>
      <c r="I38" s="399"/>
      <c r="K38" s="276" t="s">
        <v>71</v>
      </c>
      <c r="L38" s="433">
        <f>Lähtötiedot!M24+Lähtötiedot!M25</f>
        <v>5000</v>
      </c>
      <c r="M38" s="24">
        <f>IF(P$3="Tarkista",0,L38/P$3)</f>
        <v>0</v>
      </c>
      <c r="N38" s="23">
        <f>N$14</f>
        <v>0</v>
      </c>
      <c r="O38" s="269">
        <f>M38*N38</f>
        <v>0</v>
      </c>
      <c r="P38" s="297"/>
      <c r="Q38" s="24">
        <f>IF(P3="Tarkista",0,(L37*Q37+L36*Q36)/P3)</f>
        <v>0</v>
      </c>
      <c r="S38" s="39"/>
      <c r="T38" s="39" t="s">
        <v>71</v>
      </c>
      <c r="U38" s="39"/>
      <c r="V38" s="382">
        <f>IF(P$3="Tarkista",0,O38*(1-Q61)/(M$6/P$3))</f>
        <v>0</v>
      </c>
      <c r="W38" s="536">
        <f t="shared" si="17"/>
        <v>0</v>
      </c>
      <c r="X38" s="388">
        <f>Tuotantokustannusvertailu!N169</f>
        <v>0</v>
      </c>
      <c r="Y38" s="538">
        <f t="shared" si="18"/>
        <v>0</v>
      </c>
      <c r="Z38" s="389">
        <f>Tuotantokustannusvertailu!AC169</f>
        <v>0</v>
      </c>
      <c r="AA38" s="540">
        <f t="shared" si="19"/>
        <v>0</v>
      </c>
      <c r="AC38" s="561">
        <f t="shared" si="1"/>
        <v>0</v>
      </c>
      <c r="AD38" s="561">
        <f t="shared" si="2"/>
        <v>0</v>
      </c>
      <c r="AE38" s="561">
        <f t="shared" si="3"/>
        <v>0</v>
      </c>
      <c r="AF38" s="562" t="e">
        <f t="shared" si="20"/>
        <v>#DIV/0!</v>
      </c>
      <c r="AG38" s="564" t="e">
        <f>IF(AF38&lt;AG$13,"_","on pienempi kuin vertailulaskelmissa")</f>
        <v>#DIV/0!</v>
      </c>
      <c r="AH38" s="564" t="e">
        <f>IF(AF38&gt;AH$13,"_","on suurempi kuin vertailulaskelmissa")</f>
        <v>#DIV/0!</v>
      </c>
      <c r="AI38" s="564">
        <f t="shared" si="4"/>
        <v>1</v>
      </c>
      <c r="AK38" s="45" t="str">
        <f>T38</f>
        <v>Huolto ja kunnossapito</v>
      </c>
      <c r="AL38" s="44" t="str">
        <f t="shared" si="5"/>
        <v>_</v>
      </c>
      <c r="AN38" s="245"/>
    </row>
    <row r="39" spans="2:40" x14ac:dyDescent="0.35">
      <c r="B39" s="585" t="s">
        <v>681</v>
      </c>
      <c r="C39" s="586"/>
      <c r="D39" s="587"/>
      <c r="E39" s="549" t="s">
        <v>40</v>
      </c>
      <c r="F39" s="543" t="s">
        <v>41</v>
      </c>
      <c r="G39" s="544" t="s">
        <v>42</v>
      </c>
      <c r="H39" s="11"/>
      <c r="I39" s="11"/>
      <c r="K39" s="14" t="s">
        <v>73</v>
      </c>
      <c r="L39" s="36">
        <f>(L36+L37+L41)/2*Q39</f>
        <v>4750</v>
      </c>
      <c r="M39" s="36">
        <f>IF(P$3="Tarkista",0,L39/P$3)</f>
        <v>0</v>
      </c>
      <c r="N39" s="23">
        <f>N$14</f>
        <v>0</v>
      </c>
      <c r="O39" s="269">
        <f>M39*N39</f>
        <v>0</v>
      </c>
      <c r="P39" s="297"/>
      <c r="Q39" s="23">
        <v>0.05</v>
      </c>
      <c r="S39" s="39"/>
      <c r="T39" s="39" t="s">
        <v>73</v>
      </c>
      <c r="U39" s="39"/>
      <c r="V39" s="382">
        <f>IF(P$3="Tarkista",0,O39*(1-Q62)/(M$6/P$3))</f>
        <v>0</v>
      </c>
      <c r="W39" s="536">
        <f t="shared" si="17"/>
        <v>0</v>
      </c>
      <c r="X39" s="388">
        <f>Tuotantokustannusvertailu!N170</f>
        <v>0</v>
      </c>
      <c r="Y39" s="538">
        <f t="shared" si="18"/>
        <v>0</v>
      </c>
      <c r="Z39" s="389">
        <f>Tuotantokustannusvertailu!AC170</f>
        <v>0</v>
      </c>
      <c r="AA39" s="540">
        <f t="shared" si="19"/>
        <v>0</v>
      </c>
      <c r="AC39" s="561">
        <f t="shared" si="1"/>
        <v>0</v>
      </c>
      <c r="AD39" s="561">
        <f t="shared" si="2"/>
        <v>0</v>
      </c>
      <c r="AE39" s="561">
        <f t="shared" si="3"/>
        <v>0</v>
      </c>
      <c r="AF39" s="562" t="e">
        <f t="shared" si="20"/>
        <v>#DIV/0!</v>
      </c>
      <c r="AG39" s="564" t="e">
        <f>IF(AF39&lt;AG$13,"_","on pienempi kuin vertailulaskelmissa")</f>
        <v>#DIV/0!</v>
      </c>
      <c r="AH39" s="564" t="e">
        <f>IF(AF39&gt;AH$13,"_","on suurempi kuin vertailulaskelmissa")</f>
        <v>#DIV/0!</v>
      </c>
      <c r="AI39" s="564">
        <f t="shared" si="4"/>
        <v>1</v>
      </c>
      <c r="AK39" s="45" t="str">
        <f>T39</f>
        <v>Korko</v>
      </c>
      <c r="AL39" s="44" t="str">
        <f t="shared" si="5"/>
        <v>_</v>
      </c>
      <c r="AN39" s="245"/>
    </row>
    <row r="40" spans="2:40" x14ac:dyDescent="0.35">
      <c r="B40" s="545" t="s">
        <v>689</v>
      </c>
      <c r="C40" s="545"/>
      <c r="D40" s="545"/>
      <c r="E40" s="550">
        <f>O9</f>
        <v>0</v>
      </c>
      <c r="F40" s="546">
        <f>Tuotantokustannusvertailu!G140</f>
        <v>0</v>
      </c>
      <c r="G40" s="547">
        <f>Tuotantokustannusvertailu!V140</f>
        <v>0</v>
      </c>
      <c r="H40" s="11"/>
      <c r="I40" s="11"/>
      <c r="K40" s="14" t="s">
        <v>74</v>
      </c>
      <c r="L40" s="36">
        <f>IF(P3="Tarkista",0,M40*P3)</f>
        <v>0</v>
      </c>
      <c r="M40" s="36">
        <f>O9*Q40</f>
        <v>0</v>
      </c>
      <c r="N40" s="23">
        <f>N$14</f>
        <v>0</v>
      </c>
      <c r="O40" s="269">
        <f>M40*N40</f>
        <v>0</v>
      </c>
      <c r="P40" s="297"/>
      <c r="Q40" s="23">
        <v>0.06</v>
      </c>
      <c r="S40" s="39"/>
      <c r="T40" s="39" t="s">
        <v>74</v>
      </c>
      <c r="U40" s="39"/>
      <c r="V40" s="382">
        <f>IF(P$3="Tarkista",0,O40*(1-Q63)/(M$6/P$3))</f>
        <v>0</v>
      </c>
      <c r="W40" s="536">
        <f t="shared" si="17"/>
        <v>0</v>
      </c>
      <c r="X40" s="388">
        <f>Tuotantokustannusvertailu!N171</f>
        <v>0</v>
      </c>
      <c r="Y40" s="538">
        <f t="shared" si="18"/>
        <v>0</v>
      </c>
      <c r="Z40" s="389">
        <f>Tuotantokustannusvertailu!AC171</f>
        <v>0</v>
      </c>
      <c r="AA40" s="540">
        <f t="shared" si="19"/>
        <v>0</v>
      </c>
      <c r="AC40" s="561">
        <f t="shared" si="1"/>
        <v>0</v>
      </c>
      <c r="AD40" s="561">
        <f t="shared" si="2"/>
        <v>0</v>
      </c>
      <c r="AE40" s="561">
        <f t="shared" si="3"/>
        <v>0</v>
      </c>
      <c r="AF40" s="562" t="e">
        <f t="shared" si="20"/>
        <v>#DIV/0!</v>
      </c>
      <c r="AG40" s="564" t="e">
        <f>IF(AF40&lt;AG$13,"_","ovat pienemmät kuin vertailulaskelmassa")</f>
        <v>#DIV/0!</v>
      </c>
      <c r="AH40" s="564" t="e">
        <f>IF(AF40&gt;AH$13,"_","ovat suuremmat kuin vertailulaskelmassa")</f>
        <v>#DIV/0!</v>
      </c>
      <c r="AI40" s="564">
        <f t="shared" si="4"/>
        <v>1</v>
      </c>
      <c r="AK40" s="45" t="str">
        <f>T40</f>
        <v>Yleiskustannus</v>
      </c>
      <c r="AL40" s="44" t="str">
        <f t="shared" si="5"/>
        <v>_</v>
      </c>
      <c r="AN40" s="245"/>
    </row>
    <row r="41" spans="2:40" ht="15" thickBot="1" x14ac:dyDescent="0.4">
      <c r="B41" s="548" t="s">
        <v>678</v>
      </c>
      <c r="C41" s="545"/>
      <c r="D41" s="545"/>
      <c r="E41" s="550">
        <f>SUM(O14:O28)</f>
        <v>0</v>
      </c>
      <c r="F41" s="546">
        <f>SUM(Tuotantokustannusvertailu!G145:G159)</f>
        <v>0</v>
      </c>
      <c r="G41" s="547">
        <f>SUM(Tuotantokustannusvertailu!V145:V159)</f>
        <v>0</v>
      </c>
      <c r="H41" s="11"/>
      <c r="I41" s="11"/>
      <c r="J41" s="80"/>
      <c r="K41" s="39"/>
      <c r="L41" s="39"/>
      <c r="M41" s="39"/>
      <c r="N41" s="39"/>
      <c r="O41" s="89"/>
      <c r="P41" s="298"/>
      <c r="Q41" s="39"/>
      <c r="S41" s="39"/>
      <c r="T41" s="39"/>
      <c r="U41" s="39"/>
      <c r="V41" s="382"/>
      <c r="W41" s="382"/>
      <c r="X41" s="388"/>
      <c r="Y41" s="388"/>
      <c r="Z41" s="389"/>
      <c r="AA41" s="389"/>
      <c r="AC41" s="561"/>
      <c r="AD41" s="561"/>
      <c r="AE41" s="561"/>
      <c r="AF41" s="562"/>
      <c r="AK41" s="45"/>
      <c r="AN41" s="245"/>
    </row>
    <row r="42" spans="2:40" s="49" customFormat="1" ht="15" thickBot="1" x14ac:dyDescent="0.4">
      <c r="B42" s="551" t="s">
        <v>675</v>
      </c>
      <c r="C42" s="551"/>
      <c r="D42" s="551"/>
      <c r="E42" s="552">
        <f>E40-E41</f>
        <v>0</v>
      </c>
      <c r="F42" s="553">
        <f>F40-F41</f>
        <v>0</v>
      </c>
      <c r="G42" s="554">
        <f>G40-G41</f>
        <v>0</v>
      </c>
      <c r="H42" s="665"/>
      <c r="I42" s="123"/>
      <c r="K42" s="39"/>
      <c r="L42" s="39"/>
      <c r="M42" s="39"/>
      <c r="N42" s="56" t="s">
        <v>485</v>
      </c>
      <c r="O42" s="271">
        <f>SUM(O14:O40)</f>
        <v>0</v>
      </c>
      <c r="P42" s="298"/>
      <c r="Q42" s="39"/>
      <c r="S42" s="61" t="s">
        <v>517</v>
      </c>
      <c r="T42" s="77"/>
      <c r="U42" s="44"/>
      <c r="V42" s="383">
        <f>SUM(V15:V29,V31:V33,V36:V41)</f>
        <v>0</v>
      </c>
      <c r="W42" s="529"/>
      <c r="X42" s="405">
        <f>SUM(X15:X29,X31:X33,X36:X41)</f>
        <v>0</v>
      </c>
      <c r="Y42" s="532"/>
      <c r="Z42" s="406">
        <f>SUM(Z15:Z29,Z31:Z33,Z36:Z41)</f>
        <v>0</v>
      </c>
      <c r="AA42" s="533"/>
      <c r="AC42" s="561">
        <f t="shared" si="1"/>
        <v>0</v>
      </c>
      <c r="AD42" s="561">
        <f t="shared" si="2"/>
        <v>0</v>
      </c>
      <c r="AE42" s="561">
        <f t="shared" si="3"/>
        <v>0</v>
      </c>
      <c r="AF42" s="562" t="e">
        <f>AD42/AC42</f>
        <v>#DIV/0!</v>
      </c>
      <c r="AG42" s="564" t="e">
        <f>IF(AF42&lt;AG$13,"_","on pienempi kuin vertailulaskelmissa")</f>
        <v>#DIV/0!</v>
      </c>
      <c r="AH42" s="564" t="e">
        <f>IF(AF42&gt;AH$13,"_","on suurempi kuin vertailulaskelmissa")</f>
        <v>#DIV/0!</v>
      </c>
      <c r="AI42" s="564">
        <f t="shared" si="4"/>
        <v>1</v>
      </c>
      <c r="AK42" s="45" t="str">
        <f>S42</f>
        <v>Tuotantokust. €/kpl</v>
      </c>
      <c r="AL42" s="44" t="str">
        <f t="shared" si="5"/>
        <v>_</v>
      </c>
      <c r="AN42" s="245"/>
    </row>
    <row r="43" spans="2:40" s="49" customFormat="1" ht="15" thickBot="1" x14ac:dyDescent="0.4">
      <c r="B43" s="542" t="s">
        <v>679</v>
      </c>
      <c r="C43" s="545"/>
      <c r="D43" s="545"/>
      <c r="E43" s="550">
        <f>SUM(O31:O32)</f>
        <v>0</v>
      </c>
      <c r="F43" s="546">
        <f>SUM(Tuotantokustannusvertailu!G162:G163)</f>
        <v>0</v>
      </c>
      <c r="G43" s="547">
        <f>SUM(Tuotantokustannusvertailu!V162:V163)</f>
        <v>0</v>
      </c>
      <c r="H43" s="665"/>
      <c r="I43" s="123"/>
      <c r="K43" s="39"/>
      <c r="L43" s="39"/>
      <c r="M43" s="39"/>
      <c r="N43" s="56" t="s">
        <v>511</v>
      </c>
      <c r="O43" s="392">
        <f>(O5+O7)*Lähtötiedot!Q20</f>
        <v>0</v>
      </c>
      <c r="P43" s="298"/>
      <c r="Q43" s="381">
        <f>IF(O9=0,0,O43/O9)</f>
        <v>0</v>
      </c>
      <c r="S43" s="61"/>
      <c r="T43" s="384" t="s">
        <v>513</v>
      </c>
      <c r="U43" s="127"/>
      <c r="V43" s="404"/>
      <c r="W43" s="535"/>
      <c r="X43" s="405"/>
      <c r="Y43" s="532"/>
      <c r="Z43" s="406"/>
      <c r="AA43" s="533"/>
      <c r="AC43" s="424"/>
      <c r="AD43" s="424"/>
      <c r="AE43" s="424"/>
      <c r="AF43" s="424"/>
      <c r="AG43" s="564"/>
      <c r="AH43" s="564"/>
      <c r="AI43" s="564"/>
      <c r="AK43" s="45"/>
      <c r="AL43" s="44"/>
      <c r="AN43" s="245"/>
    </row>
    <row r="44" spans="2:40" s="49" customFormat="1" ht="15" thickBot="1" x14ac:dyDescent="0.4">
      <c r="B44" s="551" t="s">
        <v>676</v>
      </c>
      <c r="C44" s="551"/>
      <c r="D44" s="551"/>
      <c r="E44" s="552">
        <f>E42-E43</f>
        <v>0</v>
      </c>
      <c r="F44" s="553">
        <f>F42-F43</f>
        <v>0</v>
      </c>
      <c r="G44" s="554">
        <f>G42-G43</f>
        <v>0</v>
      </c>
      <c r="H44" s="665"/>
      <c r="I44" s="123"/>
      <c r="K44" s="39"/>
      <c r="L44" s="39"/>
      <c r="M44" s="39"/>
      <c r="N44" s="56" t="s">
        <v>509</v>
      </c>
      <c r="O44" s="271">
        <f>O42-O43</f>
        <v>0</v>
      </c>
      <c r="P44" s="379"/>
      <c r="Q44" s="380"/>
      <c r="S44" s="61"/>
      <c r="T44" s="384" t="s">
        <v>507</v>
      </c>
      <c r="U44" s="127"/>
      <c r="V44" s="404">
        <f>V42-V15+Q14</f>
        <v>0</v>
      </c>
      <c r="W44" s="535"/>
      <c r="X44" s="405"/>
      <c r="Y44" s="532"/>
      <c r="Z44" s="406"/>
      <c r="AA44" s="533"/>
      <c r="AC44" s="424"/>
      <c r="AD44" s="424"/>
      <c r="AE44" s="424"/>
      <c r="AF44" s="424"/>
      <c r="AG44" s="564"/>
      <c r="AH44" s="564"/>
      <c r="AI44" s="564"/>
      <c r="AK44" s="45"/>
      <c r="AL44" s="44"/>
      <c r="AN44" s="245"/>
    </row>
    <row r="45" spans="2:40" s="49" customFormat="1" x14ac:dyDescent="0.35">
      <c r="B45" s="548" t="s">
        <v>680</v>
      </c>
      <c r="C45" s="545"/>
      <c r="D45" s="545"/>
      <c r="E45" s="550">
        <f>SUM(O36:O40)</f>
        <v>0</v>
      </c>
      <c r="F45" s="546">
        <f>SUM(Tuotantokustannusvertailu!G167:G171)</f>
        <v>0</v>
      </c>
      <c r="G45" s="547">
        <f>SUM(Tuotantokustannusvertailu!V167:V171)</f>
        <v>0</v>
      </c>
      <c r="H45" s="665"/>
      <c r="I45" s="123"/>
      <c r="K45" s="39"/>
      <c r="L45" s="39"/>
      <c r="M45" s="39"/>
      <c r="N45" s="39"/>
      <c r="O45" s="39"/>
      <c r="P45" s="39"/>
      <c r="Q45" s="39"/>
      <c r="S45" s="61"/>
      <c r="T45" s="37" t="str">
        <f>CONCATENATE('Säilörehun tuotantokustannus'!N5," €/kg ka eli ",Q14," €/kpl")</f>
        <v>0,12 €/kg ka eli 0 €/kpl</v>
      </c>
      <c r="U45" s="37"/>
      <c r="V45" s="386"/>
      <c r="W45" s="37"/>
      <c r="X45" s="64"/>
      <c r="Y45" s="57"/>
      <c r="Z45" s="66"/>
      <c r="AA45" s="58"/>
      <c r="AC45" s="424"/>
      <c r="AD45" s="424"/>
      <c r="AE45" s="424"/>
      <c r="AF45" s="424"/>
      <c r="AG45" s="564"/>
      <c r="AH45" s="564"/>
      <c r="AI45" s="564"/>
      <c r="AK45" s="45"/>
      <c r="AL45" s="44"/>
      <c r="AN45" s="245"/>
    </row>
    <row r="46" spans="2:40" s="49" customFormat="1" x14ac:dyDescent="0.35">
      <c r="B46" s="551" t="s">
        <v>677</v>
      </c>
      <c r="C46" s="551"/>
      <c r="D46" s="551"/>
      <c r="E46" s="552">
        <f>E44-E45</f>
        <v>0</v>
      </c>
      <c r="F46" s="553">
        <f>F44-F45</f>
        <v>0</v>
      </c>
      <c r="G46" s="554">
        <f>G44-G45</f>
        <v>0</v>
      </c>
      <c r="H46" s="665"/>
      <c r="I46" s="123"/>
      <c r="K46" s="39"/>
      <c r="L46" s="39"/>
      <c r="M46" s="39"/>
      <c r="N46" s="39"/>
      <c r="O46" s="39"/>
      <c r="P46" s="39"/>
      <c r="Q46" s="39"/>
      <c r="S46" s="61"/>
      <c r="T46" s="77"/>
      <c r="U46" s="77"/>
      <c r="V46" s="62"/>
      <c r="W46" s="39"/>
      <c r="X46" s="64"/>
      <c r="Y46" s="57"/>
      <c r="Z46" s="66"/>
      <c r="AA46" s="58"/>
      <c r="AC46" s="424"/>
      <c r="AD46" s="424"/>
      <c r="AE46" s="424"/>
      <c r="AF46" s="424"/>
      <c r="AG46" s="564"/>
      <c r="AH46" s="564"/>
      <c r="AI46" s="564"/>
      <c r="AK46" s="46"/>
      <c r="AL46" s="44"/>
      <c r="AM46" s="80"/>
      <c r="AN46" s="245"/>
    </row>
    <row r="47" spans="2:40" s="49" customFormat="1" x14ac:dyDescent="0.35">
      <c r="R47" s="80"/>
      <c r="AB47" s="80"/>
      <c r="AC47" s="560"/>
      <c r="AD47" s="560"/>
      <c r="AE47" s="560"/>
      <c r="AF47" s="560"/>
      <c r="AG47" s="565"/>
      <c r="AH47" s="565"/>
      <c r="AI47" s="565"/>
      <c r="AJ47" s="80"/>
      <c r="AK47" s="81"/>
    </row>
    <row r="48" spans="2:40" s="49" customFormat="1" x14ac:dyDescent="0.35">
      <c r="B48" s="555"/>
      <c r="C48" s="555"/>
      <c r="D48" s="555"/>
      <c r="E48" s="556"/>
      <c r="F48" s="555"/>
      <c r="G48" s="555"/>
      <c r="H48" s="555"/>
      <c r="I48" s="80"/>
      <c r="K48" s="213"/>
      <c r="L48" s="213"/>
      <c r="M48" s="213"/>
      <c r="N48" s="213"/>
      <c r="O48" s="213"/>
      <c r="P48" s="213"/>
      <c r="Q48" s="213"/>
      <c r="X48" s="81"/>
      <c r="Y48" s="82"/>
      <c r="AC48" s="424"/>
      <c r="AD48" s="424"/>
      <c r="AE48" s="424"/>
      <c r="AF48" s="424"/>
      <c r="AG48" s="564"/>
      <c r="AH48" s="564"/>
      <c r="AI48" s="564"/>
      <c r="AK48" s="81"/>
    </row>
    <row r="49" spans="2:37" s="49" customFormat="1" x14ac:dyDescent="0.35">
      <c r="B49" s="213"/>
      <c r="C49" s="213"/>
      <c r="D49" s="213"/>
      <c r="E49" s="213"/>
      <c r="F49" s="213"/>
      <c r="G49" s="213"/>
      <c r="H49" s="213"/>
      <c r="I49" s="213"/>
      <c r="K49" s="313" t="str">
        <f>T15</f>
        <v xml:space="preserve">   Säilörehu</v>
      </c>
      <c r="L49" s="393">
        <f>V15</f>
        <v>0</v>
      </c>
      <c r="M49" s="213"/>
      <c r="N49" s="213"/>
      <c r="O49" s="213"/>
      <c r="P49" s="213"/>
      <c r="Q49" s="213"/>
      <c r="AC49" s="424"/>
      <c r="AD49" s="424"/>
      <c r="AE49" s="424"/>
      <c r="AF49" s="424"/>
      <c r="AG49" s="564"/>
      <c r="AH49" s="564"/>
      <c r="AI49" s="564"/>
      <c r="AK49" s="81"/>
    </row>
    <row r="50" spans="2:37" s="49" customFormat="1" x14ac:dyDescent="0.35">
      <c r="B50" s="213"/>
      <c r="C50" s="213"/>
      <c r="D50" s="213"/>
      <c r="E50" s="213"/>
      <c r="F50" s="213"/>
      <c r="G50" s="213"/>
      <c r="H50" s="213"/>
      <c r="I50" s="213"/>
      <c r="K50" s="313" t="str">
        <f>T16</f>
        <v xml:space="preserve">   Rehuvilja</v>
      </c>
      <c r="L50" s="393">
        <f>V16</f>
        <v>0</v>
      </c>
      <c r="M50" s="213"/>
      <c r="N50" s="213"/>
      <c r="O50" s="213"/>
      <c r="P50" s="213"/>
      <c r="Q50" s="213"/>
      <c r="AC50" s="424"/>
      <c r="AD50" s="424"/>
      <c r="AE50" s="424"/>
      <c r="AF50" s="424"/>
      <c r="AG50" s="564"/>
      <c r="AH50" s="564"/>
      <c r="AI50" s="564"/>
      <c r="AK50" s="81"/>
    </row>
    <row r="51" spans="2:37" s="49" customFormat="1" x14ac:dyDescent="0.35">
      <c r="B51" s="213"/>
      <c r="C51" s="213"/>
      <c r="D51" s="213"/>
      <c r="E51" s="213"/>
      <c r="F51" s="213"/>
      <c r="G51" s="213"/>
      <c r="H51" s="213"/>
      <c r="I51" s="213"/>
      <c r="K51" s="313" t="str">
        <f>T20</f>
        <v>Ostorehut</v>
      </c>
      <c r="L51" s="393">
        <f>V20</f>
        <v>0</v>
      </c>
      <c r="M51" s="213"/>
      <c r="N51" s="213"/>
      <c r="O51" s="213"/>
      <c r="P51" s="213"/>
      <c r="Q51" s="213"/>
      <c r="S51" s="83"/>
      <c r="T51" s="83"/>
      <c r="U51" s="83"/>
      <c r="V51" s="83"/>
      <c r="W51" s="83"/>
      <c r="X51" s="83"/>
      <c r="AC51" s="424"/>
      <c r="AD51" s="424"/>
      <c r="AE51" s="424"/>
      <c r="AF51" s="424"/>
      <c r="AG51" s="564"/>
      <c r="AH51" s="564"/>
      <c r="AI51" s="564"/>
      <c r="AK51" s="81"/>
    </row>
    <row r="52" spans="2:37" s="49" customFormat="1" x14ac:dyDescent="0.35">
      <c r="B52" s="213"/>
      <c r="C52" s="213"/>
      <c r="D52" s="213"/>
      <c r="E52" s="213"/>
      <c r="F52" s="213"/>
      <c r="G52" s="213"/>
      <c r="H52" s="213"/>
      <c r="I52" s="213"/>
      <c r="K52" s="313" t="str">
        <f>T26</f>
        <v>Eläinten ostot</v>
      </c>
      <c r="L52" s="393">
        <f>V26</f>
        <v>0</v>
      </c>
      <c r="M52" s="213"/>
      <c r="N52" s="213"/>
      <c r="O52" s="213"/>
      <c r="P52" s="213"/>
      <c r="Q52" s="213"/>
      <c r="S52" s="83"/>
      <c r="T52" s="83"/>
      <c r="U52" s="83" t="str">
        <f>V12</f>
        <v>Oma laskelma</v>
      </c>
      <c r="V52" s="83" t="str">
        <f>X12</f>
        <v>Hyvä</v>
      </c>
      <c r="W52" s="83" t="str">
        <f>Z12</f>
        <v>Erinomainen</v>
      </c>
      <c r="X52" s="83"/>
      <c r="AC52" s="424"/>
      <c r="AD52" s="424"/>
      <c r="AE52" s="424"/>
      <c r="AF52" s="424"/>
      <c r="AG52" s="564"/>
      <c r="AH52" s="564"/>
      <c r="AI52" s="564"/>
      <c r="AK52" s="81"/>
    </row>
    <row r="53" spans="2:37" s="49" customFormat="1" x14ac:dyDescent="0.35">
      <c r="B53" s="213"/>
      <c r="C53" s="213"/>
      <c r="D53" s="213"/>
      <c r="E53" s="213"/>
      <c r="F53" s="213"/>
      <c r="G53" s="213"/>
      <c r="H53" s="213"/>
      <c r="I53" s="213"/>
      <c r="K53" s="212" t="s">
        <v>510</v>
      </c>
      <c r="L53" s="393">
        <f>V14-SUM(L49:L52)</f>
        <v>0</v>
      </c>
      <c r="M53" s="213"/>
      <c r="N53" s="213"/>
      <c r="O53" s="213"/>
      <c r="P53" s="213"/>
      <c r="Q53" s="213"/>
      <c r="S53" s="83"/>
      <c r="T53" s="84" t="str">
        <f>S14</f>
        <v>Muuttuvat kustannukset</v>
      </c>
      <c r="U53" s="557">
        <f>V14</f>
        <v>0</v>
      </c>
      <c r="V53" s="557">
        <f>X14</f>
        <v>0</v>
      </c>
      <c r="W53" s="557">
        <f>Z14</f>
        <v>0</v>
      </c>
      <c r="X53" s="83"/>
      <c r="AC53" s="424"/>
      <c r="AD53" s="424"/>
      <c r="AE53" s="424"/>
      <c r="AF53" s="424"/>
      <c r="AG53" s="564"/>
      <c r="AH53" s="564"/>
      <c r="AI53" s="564"/>
      <c r="AK53" s="81"/>
    </row>
    <row r="54" spans="2:37" s="49" customFormat="1" x14ac:dyDescent="0.35">
      <c r="B54" s="213"/>
      <c r="C54" s="213"/>
      <c r="D54" s="213"/>
      <c r="E54" s="213"/>
      <c r="F54" s="213"/>
      <c r="G54" s="213"/>
      <c r="H54" s="213"/>
      <c r="I54" s="213"/>
      <c r="K54" s="313" t="str">
        <f>S30</f>
        <v>Työkustannus</v>
      </c>
      <c r="L54" s="393">
        <f>V30</f>
        <v>0</v>
      </c>
      <c r="M54" s="213"/>
      <c r="N54" s="213"/>
      <c r="O54" s="213"/>
      <c r="P54" s="213"/>
      <c r="Q54" s="213"/>
      <c r="S54" s="83"/>
      <c r="T54" s="84" t="str">
        <f>S30</f>
        <v>Työkustannus</v>
      </c>
      <c r="U54" s="557">
        <f>V30</f>
        <v>0</v>
      </c>
      <c r="V54" s="557">
        <f>X30</f>
        <v>0</v>
      </c>
      <c r="W54" s="557">
        <f>Z30</f>
        <v>0</v>
      </c>
      <c r="X54" s="83"/>
      <c r="AC54" s="424"/>
      <c r="AD54" s="424"/>
      <c r="AE54" s="424"/>
      <c r="AF54" s="424"/>
      <c r="AG54" s="564"/>
      <c r="AH54" s="564"/>
      <c r="AI54" s="564"/>
      <c r="AK54" s="81"/>
    </row>
    <row r="55" spans="2:37" s="49" customFormat="1" x14ac:dyDescent="0.35">
      <c r="B55" s="213"/>
      <c r="C55" s="213"/>
      <c r="D55" s="213"/>
      <c r="E55" s="213"/>
      <c r="F55" s="213"/>
      <c r="G55" s="213"/>
      <c r="H55" s="213"/>
      <c r="I55" s="213"/>
      <c r="K55" s="313" t="str">
        <f>S35</f>
        <v>Kiinteät kustannukset</v>
      </c>
      <c r="L55" s="393">
        <f>V35</f>
        <v>0</v>
      </c>
      <c r="M55" s="213"/>
      <c r="N55" s="213"/>
      <c r="O55" s="213"/>
      <c r="P55" s="213"/>
      <c r="Q55" s="213"/>
      <c r="S55" s="83"/>
      <c r="T55" s="84" t="str">
        <f>S35</f>
        <v>Kiinteät kustannukset</v>
      </c>
      <c r="U55" s="557">
        <f>V35</f>
        <v>0</v>
      </c>
      <c r="V55" s="557">
        <f>X35</f>
        <v>0</v>
      </c>
      <c r="W55" s="557">
        <f>Z35</f>
        <v>0</v>
      </c>
      <c r="X55" s="83"/>
      <c r="AC55" s="424"/>
      <c r="AD55" s="424"/>
      <c r="AE55" s="424"/>
      <c r="AF55" s="424"/>
      <c r="AG55" s="564"/>
      <c r="AH55" s="564"/>
      <c r="AI55" s="564"/>
      <c r="AK55" s="81"/>
    </row>
    <row r="56" spans="2:37" s="49" customFormat="1" x14ac:dyDescent="0.35">
      <c r="B56" s="213"/>
      <c r="C56" s="213"/>
      <c r="D56" s="213"/>
      <c r="E56" s="213"/>
      <c r="F56" s="213"/>
      <c r="G56" s="213"/>
      <c r="H56" s="213"/>
      <c r="I56" s="213"/>
      <c r="K56" s="213"/>
      <c r="L56" s="213"/>
      <c r="M56" s="213"/>
      <c r="N56" s="213"/>
      <c r="O56" s="213"/>
      <c r="P56" s="213"/>
      <c r="Q56" s="213"/>
      <c r="AC56" s="424"/>
      <c r="AD56" s="424"/>
      <c r="AE56" s="424"/>
      <c r="AF56" s="424"/>
      <c r="AG56" s="564"/>
      <c r="AH56" s="564"/>
      <c r="AI56" s="564"/>
      <c r="AK56" s="81"/>
    </row>
    <row r="57" spans="2:37" s="49" customFormat="1" x14ac:dyDescent="0.35">
      <c r="B57" s="213"/>
      <c r="C57" s="213"/>
      <c r="D57" s="213"/>
      <c r="E57" s="213"/>
      <c r="F57" s="213"/>
      <c r="G57" s="213"/>
      <c r="H57" s="213"/>
      <c r="I57" s="213"/>
      <c r="K57" s="213"/>
      <c r="L57" s="213"/>
      <c r="M57" s="213"/>
      <c r="N57" s="213"/>
      <c r="O57" s="213"/>
      <c r="P57" s="213"/>
      <c r="Q57" s="213"/>
      <c r="AC57" s="424"/>
      <c r="AD57" s="424"/>
      <c r="AE57" s="424"/>
      <c r="AF57" s="424"/>
      <c r="AG57" s="564"/>
      <c r="AH57" s="564"/>
      <c r="AI57" s="564"/>
      <c r="AK57" s="81"/>
    </row>
    <row r="58" spans="2:37" s="49" customFormat="1" x14ac:dyDescent="0.35">
      <c r="B58" s="213"/>
      <c r="C58" s="213"/>
      <c r="D58" s="213"/>
      <c r="E58" s="213"/>
      <c r="F58" s="213"/>
      <c r="G58" s="213"/>
      <c r="H58" s="213"/>
      <c r="I58" s="213"/>
      <c r="K58" s="213"/>
      <c r="L58" s="213"/>
      <c r="M58" s="213"/>
      <c r="N58" s="213"/>
      <c r="O58" s="213"/>
      <c r="P58" s="213"/>
      <c r="Q58" s="213"/>
      <c r="AC58" s="424"/>
      <c r="AD58" s="424"/>
      <c r="AE58" s="424"/>
      <c r="AF58" s="424"/>
      <c r="AG58" s="564"/>
      <c r="AH58" s="564"/>
      <c r="AI58" s="564"/>
      <c r="AK58" s="81"/>
    </row>
    <row r="59" spans="2:37" s="49" customFormat="1" x14ac:dyDescent="0.35">
      <c r="B59" s="213"/>
      <c r="C59" s="213"/>
      <c r="D59" s="213"/>
      <c r="E59" s="213"/>
      <c r="F59" s="213"/>
      <c r="G59" s="213"/>
      <c r="H59" s="213"/>
      <c r="I59" s="213"/>
      <c r="K59" s="213"/>
      <c r="L59" s="213"/>
      <c r="M59" s="213"/>
      <c r="N59" s="213"/>
      <c r="O59" s="213"/>
      <c r="P59" s="213"/>
      <c r="Q59" s="213"/>
      <c r="AC59" s="424"/>
      <c r="AD59" s="424"/>
      <c r="AE59" s="424"/>
      <c r="AF59" s="424"/>
      <c r="AG59" s="564"/>
      <c r="AH59" s="564"/>
      <c r="AI59" s="564"/>
      <c r="AK59" s="81"/>
    </row>
    <row r="60" spans="2:37" s="49" customFormat="1" x14ac:dyDescent="0.35">
      <c r="B60" s="213"/>
      <c r="C60" s="213"/>
      <c r="D60" s="213"/>
      <c r="E60" s="213"/>
      <c r="F60" s="213"/>
      <c r="G60" s="213"/>
      <c r="H60" s="213"/>
      <c r="I60" s="213"/>
      <c r="K60" s="213"/>
      <c r="L60" s="213"/>
      <c r="M60" s="213"/>
      <c r="N60" s="213"/>
      <c r="O60" s="213"/>
      <c r="P60" s="213"/>
      <c r="Q60" s="213"/>
      <c r="AC60" s="424"/>
      <c r="AD60" s="424"/>
      <c r="AE60" s="424"/>
      <c r="AF60" s="424"/>
      <c r="AG60" s="564"/>
      <c r="AH60" s="564"/>
      <c r="AI60" s="564"/>
      <c r="AK60" s="81"/>
    </row>
    <row r="61" spans="2:37" s="49" customFormat="1" x14ac:dyDescent="0.35">
      <c r="B61" s="213"/>
      <c r="C61" s="213"/>
      <c r="D61" s="213"/>
      <c r="E61" s="213"/>
      <c r="F61" s="213"/>
      <c r="G61" s="213"/>
      <c r="H61" s="213"/>
      <c r="I61" s="213"/>
      <c r="K61" s="213"/>
      <c r="L61" s="213"/>
      <c r="M61" s="213"/>
      <c r="N61" s="213"/>
      <c r="O61" s="213"/>
      <c r="P61" s="213"/>
      <c r="Q61" s="213"/>
      <c r="AC61" s="424"/>
      <c r="AD61" s="424"/>
      <c r="AE61" s="424"/>
      <c r="AF61" s="424"/>
      <c r="AG61" s="564"/>
      <c r="AH61" s="564"/>
      <c r="AI61" s="564"/>
      <c r="AK61" s="81"/>
    </row>
    <row r="62" spans="2:37" s="49" customFormat="1" x14ac:dyDescent="0.35">
      <c r="B62" s="213"/>
      <c r="C62" s="213"/>
      <c r="D62" s="213"/>
      <c r="E62" s="213"/>
      <c r="F62" s="213"/>
      <c r="G62" s="213"/>
      <c r="H62" s="213"/>
      <c r="I62" s="213"/>
      <c r="K62" s="213"/>
      <c r="L62" s="213"/>
      <c r="M62" s="213"/>
      <c r="N62" s="213"/>
      <c r="O62" s="213"/>
      <c r="P62" s="213"/>
      <c r="Q62" s="213"/>
      <c r="AC62" s="424"/>
      <c r="AD62" s="424"/>
      <c r="AE62" s="424"/>
      <c r="AF62" s="424"/>
      <c r="AG62" s="564"/>
      <c r="AH62" s="564"/>
      <c r="AI62" s="564"/>
      <c r="AK62" s="81"/>
    </row>
    <row r="63" spans="2:37" s="49" customFormat="1" x14ac:dyDescent="0.35">
      <c r="B63" s="213"/>
      <c r="C63" s="213"/>
      <c r="D63" s="213"/>
      <c r="E63" s="213"/>
      <c r="F63" s="213"/>
      <c r="G63" s="213"/>
      <c r="H63" s="213"/>
      <c r="I63" s="213"/>
      <c r="K63" s="213"/>
      <c r="L63" s="213"/>
      <c r="M63" s="213"/>
      <c r="N63" s="213"/>
      <c r="O63" s="213"/>
      <c r="P63" s="213"/>
      <c r="Q63" s="213"/>
      <c r="AC63" s="424"/>
      <c r="AD63" s="424"/>
      <c r="AE63" s="424"/>
      <c r="AF63" s="424"/>
      <c r="AG63" s="564"/>
      <c r="AH63" s="564"/>
      <c r="AI63" s="564"/>
      <c r="AK63" s="81"/>
    </row>
    <row r="64" spans="2:37" s="49" customFormat="1" x14ac:dyDescent="0.35">
      <c r="B64" s="213"/>
      <c r="C64" s="213"/>
      <c r="D64" s="213"/>
      <c r="E64" s="213"/>
      <c r="F64" s="213"/>
      <c r="G64" s="213"/>
      <c r="H64" s="213"/>
      <c r="I64" s="213"/>
      <c r="K64" s="213"/>
      <c r="L64" s="213"/>
      <c r="M64" s="213"/>
      <c r="N64" s="213"/>
      <c r="O64" s="213"/>
      <c r="P64" s="213"/>
      <c r="Q64" s="213"/>
      <c r="AC64" s="424"/>
      <c r="AD64" s="424"/>
      <c r="AE64" s="424"/>
      <c r="AF64" s="424"/>
      <c r="AG64" s="564"/>
      <c r="AH64" s="564"/>
      <c r="AI64" s="564"/>
      <c r="AK64" s="81"/>
    </row>
    <row r="65" spans="2:37" s="49" customFormat="1" x14ac:dyDescent="0.35">
      <c r="B65" s="213"/>
      <c r="C65" s="213"/>
      <c r="D65" s="213"/>
      <c r="E65" s="213"/>
      <c r="F65" s="213"/>
      <c r="G65" s="213"/>
      <c r="H65" s="213"/>
      <c r="I65" s="213"/>
      <c r="K65" s="213"/>
      <c r="L65" s="213"/>
      <c r="M65" s="213"/>
      <c r="N65" s="213"/>
      <c r="O65" s="213"/>
      <c r="P65" s="213"/>
      <c r="Q65" s="213"/>
      <c r="AC65" s="424"/>
      <c r="AD65" s="424"/>
      <c r="AE65" s="424"/>
      <c r="AF65" s="424"/>
      <c r="AG65" s="564"/>
      <c r="AH65" s="564"/>
      <c r="AI65" s="564"/>
      <c r="AK65" s="81"/>
    </row>
    <row r="66" spans="2:37" s="49" customFormat="1" x14ac:dyDescent="0.35">
      <c r="B66" s="213"/>
      <c r="C66" s="213"/>
      <c r="D66" s="213"/>
      <c r="E66" s="213"/>
      <c r="F66" s="213"/>
      <c r="G66" s="213"/>
      <c r="H66" s="213"/>
      <c r="I66" s="213"/>
      <c r="K66" s="213"/>
      <c r="L66" s="213"/>
      <c r="M66" s="213"/>
      <c r="N66" s="213"/>
      <c r="O66" s="213"/>
      <c r="P66" s="213"/>
      <c r="Q66" s="213"/>
      <c r="AC66" s="424"/>
      <c r="AD66" s="424"/>
      <c r="AE66" s="424"/>
      <c r="AF66" s="424"/>
      <c r="AG66" s="564"/>
      <c r="AH66" s="564"/>
      <c r="AI66" s="564"/>
      <c r="AK66" s="81"/>
    </row>
    <row r="67" spans="2:37" s="49" customFormat="1" x14ac:dyDescent="0.35">
      <c r="B67" s="213"/>
      <c r="C67" s="213"/>
      <c r="D67" s="213"/>
      <c r="E67" s="213"/>
      <c r="F67" s="213"/>
      <c r="G67" s="213"/>
      <c r="H67" s="213"/>
      <c r="I67" s="213"/>
      <c r="K67" s="213"/>
      <c r="L67" s="213"/>
      <c r="M67" s="213"/>
      <c r="N67" s="213"/>
      <c r="O67" s="213"/>
      <c r="P67" s="213"/>
      <c r="Q67" s="213"/>
      <c r="AC67" s="424"/>
      <c r="AD67" s="424"/>
      <c r="AE67" s="424"/>
      <c r="AF67" s="424"/>
      <c r="AG67" s="564"/>
      <c r="AH67" s="564"/>
      <c r="AI67" s="564"/>
      <c r="AK67" s="81"/>
    </row>
    <row r="68" spans="2:37" s="49" customFormat="1" x14ac:dyDescent="0.35">
      <c r="AC68" s="424"/>
      <c r="AD68" s="424"/>
      <c r="AE68" s="424"/>
      <c r="AF68" s="424"/>
      <c r="AG68" s="564"/>
      <c r="AH68" s="564"/>
      <c r="AI68" s="564"/>
      <c r="AK68" s="81"/>
    </row>
    <row r="69" spans="2:37" s="49" customFormat="1" x14ac:dyDescent="0.35">
      <c r="AC69" s="424"/>
      <c r="AD69" s="424"/>
      <c r="AE69" s="424"/>
      <c r="AF69" s="424"/>
      <c r="AG69" s="564"/>
      <c r="AH69" s="564"/>
      <c r="AI69" s="564"/>
      <c r="AK69" s="81"/>
    </row>
    <row r="70" spans="2:37" s="49" customFormat="1" x14ac:dyDescent="0.35">
      <c r="AC70" s="424"/>
      <c r="AD70" s="424"/>
      <c r="AE70" s="424"/>
      <c r="AF70" s="424"/>
      <c r="AG70" s="564"/>
      <c r="AH70" s="564"/>
      <c r="AI70" s="564"/>
      <c r="AK70" s="81"/>
    </row>
    <row r="71" spans="2:37" s="49" customFormat="1" x14ac:dyDescent="0.35">
      <c r="AC71" s="424"/>
      <c r="AD71" s="424"/>
      <c r="AE71" s="424"/>
      <c r="AF71" s="424"/>
      <c r="AG71" s="564"/>
      <c r="AH71" s="564"/>
      <c r="AI71" s="564"/>
      <c r="AK71" s="81"/>
    </row>
    <row r="72" spans="2:37" s="49" customFormat="1" x14ac:dyDescent="0.35">
      <c r="AC72" s="424"/>
      <c r="AD72" s="424"/>
      <c r="AE72" s="424"/>
      <c r="AF72" s="424"/>
      <c r="AG72" s="564"/>
      <c r="AH72" s="564"/>
      <c r="AI72" s="564"/>
      <c r="AK72" s="81"/>
    </row>
    <row r="73" spans="2:37" s="49" customFormat="1" x14ac:dyDescent="0.35">
      <c r="AC73" s="424"/>
      <c r="AD73" s="424"/>
      <c r="AE73" s="424"/>
      <c r="AF73" s="424"/>
      <c r="AG73" s="564"/>
      <c r="AH73" s="564"/>
      <c r="AI73" s="564"/>
      <c r="AK73" s="81"/>
    </row>
    <row r="74" spans="2:37" s="49" customFormat="1" x14ac:dyDescent="0.35">
      <c r="AC74" s="424"/>
      <c r="AD74" s="424"/>
      <c r="AE74" s="424"/>
      <c r="AF74" s="424"/>
      <c r="AG74" s="564"/>
      <c r="AH74" s="564"/>
      <c r="AI74" s="564"/>
      <c r="AK74" s="81"/>
    </row>
    <row r="75" spans="2:37" s="49" customFormat="1" x14ac:dyDescent="0.35">
      <c r="AC75" s="424"/>
      <c r="AD75" s="424"/>
      <c r="AE75" s="424"/>
      <c r="AF75" s="424"/>
      <c r="AG75" s="564"/>
      <c r="AH75" s="564"/>
      <c r="AI75" s="564"/>
      <c r="AK75" s="81"/>
    </row>
    <row r="76" spans="2:37" s="49" customFormat="1" x14ac:dyDescent="0.35">
      <c r="AC76" s="424"/>
      <c r="AD76" s="424"/>
      <c r="AE76" s="424"/>
      <c r="AF76" s="424"/>
      <c r="AG76" s="564"/>
      <c r="AH76" s="564"/>
      <c r="AI76" s="564"/>
      <c r="AK76" s="81"/>
    </row>
    <row r="77" spans="2:37" s="49" customFormat="1" x14ac:dyDescent="0.35">
      <c r="AC77" s="424"/>
      <c r="AD77" s="424"/>
      <c r="AE77" s="424"/>
      <c r="AF77" s="424"/>
      <c r="AG77" s="564"/>
      <c r="AH77" s="564"/>
      <c r="AI77" s="564"/>
      <c r="AK77" s="81"/>
    </row>
    <row r="78" spans="2:37" s="49" customFormat="1" x14ac:dyDescent="0.35">
      <c r="W78" s="212"/>
      <c r="X78" s="212"/>
      <c r="Y78" s="212"/>
      <c r="Z78" s="212"/>
      <c r="AA78" s="212"/>
      <c r="AC78" s="424"/>
      <c r="AD78" s="424"/>
      <c r="AE78" s="424"/>
      <c r="AF78" s="424"/>
      <c r="AG78" s="564"/>
      <c r="AH78" s="564"/>
      <c r="AI78" s="564"/>
      <c r="AK78" s="81"/>
    </row>
    <row r="79" spans="2:37" s="49" customFormat="1" x14ac:dyDescent="0.35">
      <c r="W79" s="213"/>
      <c r="X79" s="213"/>
      <c r="Y79" s="213"/>
      <c r="Z79" s="213"/>
      <c r="AA79" s="213"/>
      <c r="AC79" s="424"/>
      <c r="AD79" s="424"/>
      <c r="AE79" s="424"/>
      <c r="AF79" s="424"/>
      <c r="AG79" s="564"/>
      <c r="AH79" s="564"/>
      <c r="AI79" s="564"/>
      <c r="AK79" s="81"/>
    </row>
    <row r="80" spans="2:37" s="49" customFormat="1" x14ac:dyDescent="0.35">
      <c r="W80" s="213"/>
      <c r="X80" s="213"/>
      <c r="Y80" s="213"/>
      <c r="Z80" s="213"/>
      <c r="AA80" s="213"/>
      <c r="AC80" s="424"/>
      <c r="AD80" s="424"/>
      <c r="AE80" s="424"/>
      <c r="AF80" s="424"/>
      <c r="AG80" s="564"/>
      <c r="AH80" s="564"/>
      <c r="AI80" s="564"/>
      <c r="AK80" s="81"/>
    </row>
    <row r="81" spans="23:37" s="49" customFormat="1" x14ac:dyDescent="0.35">
      <c r="W81" s="213"/>
      <c r="X81" s="213"/>
      <c r="Y81" s="213"/>
      <c r="Z81" s="213"/>
      <c r="AA81" s="213"/>
      <c r="AC81" s="424"/>
      <c r="AD81" s="424"/>
      <c r="AE81" s="424"/>
      <c r="AF81" s="424"/>
      <c r="AG81" s="564"/>
      <c r="AH81" s="564"/>
      <c r="AI81" s="564"/>
      <c r="AK81" s="81"/>
    </row>
    <row r="82" spans="23:37" s="49" customFormat="1" x14ac:dyDescent="0.35">
      <c r="W82" s="213"/>
      <c r="X82" s="213"/>
      <c r="Y82" s="213"/>
      <c r="Z82" s="213"/>
      <c r="AA82" s="213"/>
      <c r="AC82" s="424"/>
      <c r="AD82" s="424"/>
      <c r="AE82" s="424"/>
      <c r="AF82" s="424"/>
      <c r="AG82" s="564"/>
      <c r="AH82" s="564"/>
      <c r="AI82" s="564"/>
      <c r="AK82" s="81"/>
    </row>
    <row r="83" spans="23:37" s="49" customFormat="1" x14ac:dyDescent="0.35">
      <c r="W83" s="213"/>
      <c r="X83" s="213"/>
      <c r="Y83" s="213"/>
      <c r="Z83" s="213"/>
      <c r="AA83" s="213"/>
      <c r="AC83" s="424"/>
      <c r="AD83" s="424"/>
      <c r="AE83" s="424"/>
      <c r="AF83" s="424"/>
      <c r="AG83" s="564"/>
      <c r="AH83" s="564"/>
      <c r="AI83" s="564"/>
      <c r="AK83" s="81"/>
    </row>
    <row r="84" spans="23:37" s="49" customFormat="1" x14ac:dyDescent="0.35">
      <c r="AC84" s="424"/>
      <c r="AD84" s="424"/>
      <c r="AE84" s="424"/>
      <c r="AF84" s="424"/>
      <c r="AG84" s="564"/>
      <c r="AH84" s="564"/>
      <c r="AI84" s="564"/>
      <c r="AK84" s="81"/>
    </row>
    <row r="85" spans="23:37" s="49" customFormat="1" x14ac:dyDescent="0.35">
      <c r="AC85" s="424"/>
      <c r="AD85" s="424"/>
      <c r="AE85" s="424"/>
      <c r="AF85" s="424"/>
      <c r="AG85" s="564"/>
      <c r="AH85" s="564"/>
      <c r="AI85" s="564"/>
      <c r="AK85" s="81"/>
    </row>
    <row r="86" spans="23:37" s="49" customFormat="1" x14ac:dyDescent="0.35">
      <c r="AC86" s="424"/>
      <c r="AD86" s="424"/>
      <c r="AE86" s="424"/>
      <c r="AF86" s="424"/>
      <c r="AG86" s="564"/>
      <c r="AH86" s="564"/>
      <c r="AI86" s="564"/>
      <c r="AK86" s="81"/>
    </row>
    <row r="87" spans="23:37" s="49" customFormat="1" x14ac:dyDescent="0.35">
      <c r="AC87" s="424"/>
      <c r="AD87" s="424"/>
      <c r="AE87" s="424"/>
      <c r="AF87" s="424"/>
      <c r="AG87" s="564"/>
      <c r="AH87" s="564"/>
      <c r="AI87" s="564"/>
      <c r="AK87" s="81"/>
    </row>
    <row r="88" spans="23:37" s="49" customFormat="1" x14ac:dyDescent="0.35">
      <c r="AC88" s="424"/>
      <c r="AD88" s="424"/>
      <c r="AE88" s="424"/>
      <c r="AF88" s="424"/>
      <c r="AG88" s="564"/>
      <c r="AH88" s="564"/>
      <c r="AI88" s="564"/>
      <c r="AK88" s="81"/>
    </row>
    <row r="89" spans="23:37" s="49" customFormat="1" x14ac:dyDescent="0.35">
      <c r="AC89" s="424"/>
      <c r="AD89" s="424"/>
      <c r="AE89" s="424"/>
      <c r="AF89" s="424"/>
      <c r="AG89" s="564"/>
      <c r="AH89" s="564"/>
      <c r="AI89" s="564"/>
      <c r="AK89" s="81"/>
    </row>
    <row r="90" spans="23:37" s="49" customFormat="1" x14ac:dyDescent="0.35">
      <c r="AC90" s="424"/>
      <c r="AD90" s="424"/>
      <c r="AE90" s="424"/>
      <c r="AF90" s="424"/>
      <c r="AG90" s="564"/>
      <c r="AH90" s="564"/>
      <c r="AI90" s="564"/>
      <c r="AK90" s="81"/>
    </row>
    <row r="91" spans="23:37" s="49" customFormat="1" x14ac:dyDescent="0.35">
      <c r="AC91" s="424"/>
      <c r="AD91" s="424"/>
      <c r="AE91" s="424"/>
      <c r="AF91" s="424"/>
      <c r="AG91" s="564"/>
      <c r="AH91" s="564"/>
      <c r="AI91" s="564"/>
      <c r="AK91" s="81"/>
    </row>
    <row r="92" spans="23:37" s="49" customFormat="1" x14ac:dyDescent="0.35">
      <c r="AC92" s="424"/>
      <c r="AD92" s="424"/>
      <c r="AE92" s="424"/>
      <c r="AF92" s="424"/>
      <c r="AG92" s="564"/>
      <c r="AH92" s="564"/>
      <c r="AI92" s="564"/>
      <c r="AK92" s="81"/>
    </row>
    <row r="93" spans="23:37" s="49" customFormat="1" x14ac:dyDescent="0.35">
      <c r="AC93" s="424"/>
      <c r="AD93" s="424"/>
      <c r="AE93" s="424"/>
      <c r="AF93" s="424"/>
      <c r="AG93" s="564"/>
      <c r="AH93" s="564"/>
      <c r="AI93" s="564"/>
      <c r="AK93" s="81"/>
    </row>
    <row r="94" spans="23:37" s="49" customFormat="1" x14ac:dyDescent="0.35">
      <c r="AC94" s="424"/>
      <c r="AD94" s="424"/>
      <c r="AE94" s="424"/>
      <c r="AF94" s="424"/>
      <c r="AG94" s="564"/>
      <c r="AH94" s="564"/>
      <c r="AI94" s="564"/>
      <c r="AK94" s="81"/>
    </row>
    <row r="95" spans="23:37" s="49" customFormat="1" x14ac:dyDescent="0.35">
      <c r="AC95" s="424"/>
      <c r="AD95" s="424"/>
      <c r="AE95" s="424"/>
      <c r="AF95" s="424"/>
      <c r="AG95" s="564"/>
      <c r="AH95" s="564"/>
      <c r="AI95" s="564"/>
      <c r="AK95" s="81"/>
    </row>
    <row r="96" spans="23:37" s="49" customFormat="1" x14ac:dyDescent="0.35">
      <c r="AC96" s="424"/>
      <c r="AD96" s="424"/>
      <c r="AE96" s="424"/>
      <c r="AF96" s="424"/>
      <c r="AG96" s="564"/>
      <c r="AH96" s="564"/>
      <c r="AI96" s="564"/>
      <c r="AK96" s="81"/>
    </row>
    <row r="97" spans="29:37" s="49" customFormat="1" x14ac:dyDescent="0.35">
      <c r="AC97" s="424"/>
      <c r="AD97" s="424"/>
      <c r="AE97" s="424"/>
      <c r="AF97" s="424"/>
      <c r="AG97" s="564"/>
      <c r="AH97" s="564"/>
      <c r="AI97" s="564"/>
      <c r="AK97" s="81"/>
    </row>
    <row r="98" spans="29:37" s="49" customFormat="1" x14ac:dyDescent="0.35">
      <c r="AC98" s="424"/>
      <c r="AD98" s="424"/>
      <c r="AE98" s="424"/>
      <c r="AF98" s="424"/>
      <c r="AG98" s="564"/>
      <c r="AH98" s="564"/>
      <c r="AI98" s="564"/>
      <c r="AK98" s="81"/>
    </row>
    <row r="99" spans="29:37" s="49" customFormat="1" x14ac:dyDescent="0.35">
      <c r="AC99" s="424"/>
      <c r="AD99" s="424"/>
      <c r="AE99" s="424"/>
      <c r="AF99" s="424"/>
      <c r="AG99" s="564"/>
      <c r="AH99" s="564"/>
      <c r="AI99" s="564"/>
      <c r="AK99" s="81"/>
    </row>
    <row r="100" spans="29:37" s="49" customFormat="1" x14ac:dyDescent="0.35">
      <c r="AC100" s="424"/>
      <c r="AD100" s="424"/>
      <c r="AE100" s="424"/>
      <c r="AF100" s="424"/>
      <c r="AG100" s="564"/>
      <c r="AH100" s="564"/>
      <c r="AI100" s="564"/>
      <c r="AK100" s="81"/>
    </row>
    <row r="101" spans="29:37" s="49" customFormat="1" x14ac:dyDescent="0.35">
      <c r="AC101" s="424"/>
      <c r="AD101" s="424"/>
      <c r="AE101" s="424"/>
      <c r="AF101" s="424"/>
      <c r="AG101" s="564"/>
      <c r="AH101" s="564"/>
      <c r="AI101" s="564"/>
      <c r="AK101" s="81"/>
    </row>
    <row r="102" spans="29:37" s="49" customFormat="1" x14ac:dyDescent="0.35">
      <c r="AC102" s="424"/>
      <c r="AD102" s="424"/>
      <c r="AE102" s="424"/>
      <c r="AF102" s="424"/>
      <c r="AG102" s="564"/>
      <c r="AH102" s="564"/>
      <c r="AI102" s="564"/>
      <c r="AK102" s="81"/>
    </row>
    <row r="103" spans="29:37" s="49" customFormat="1" x14ac:dyDescent="0.35">
      <c r="AC103" s="424"/>
      <c r="AD103" s="424"/>
      <c r="AE103" s="424"/>
      <c r="AF103" s="424"/>
      <c r="AG103" s="564"/>
      <c r="AH103" s="564"/>
      <c r="AI103" s="564"/>
      <c r="AK103" s="81"/>
    </row>
    <row r="104" spans="29:37" s="49" customFormat="1" x14ac:dyDescent="0.35">
      <c r="AC104" s="424"/>
      <c r="AD104" s="424"/>
      <c r="AE104" s="424"/>
      <c r="AF104" s="424"/>
      <c r="AG104" s="564"/>
      <c r="AH104" s="564"/>
      <c r="AI104" s="564"/>
      <c r="AK104" s="81"/>
    </row>
    <row r="105" spans="29:37" s="49" customFormat="1" x14ac:dyDescent="0.35">
      <c r="AC105" s="424"/>
      <c r="AD105" s="424"/>
      <c r="AE105" s="424"/>
      <c r="AF105" s="424"/>
      <c r="AG105" s="564"/>
      <c r="AH105" s="564"/>
      <c r="AI105" s="564"/>
      <c r="AK105" s="81"/>
    </row>
    <row r="106" spans="29:37" s="49" customFormat="1" x14ac:dyDescent="0.35">
      <c r="AC106" s="424"/>
      <c r="AD106" s="424"/>
      <c r="AE106" s="424"/>
      <c r="AF106" s="424"/>
      <c r="AG106" s="564"/>
      <c r="AH106" s="564"/>
      <c r="AI106" s="564"/>
      <c r="AK106" s="81"/>
    </row>
    <row r="107" spans="29:37" s="49" customFormat="1" x14ac:dyDescent="0.35">
      <c r="AC107" s="424"/>
      <c r="AD107" s="424"/>
      <c r="AE107" s="424"/>
      <c r="AF107" s="424"/>
      <c r="AG107" s="564"/>
      <c r="AH107" s="564"/>
      <c r="AI107" s="564"/>
      <c r="AK107" s="81"/>
    </row>
    <row r="108" spans="29:37" s="49" customFormat="1" x14ac:dyDescent="0.35">
      <c r="AC108" s="424"/>
      <c r="AD108" s="424"/>
      <c r="AE108" s="424"/>
      <c r="AF108" s="424"/>
      <c r="AG108" s="564"/>
      <c r="AH108" s="564"/>
      <c r="AI108" s="564"/>
      <c r="AK108" s="81"/>
    </row>
    <row r="109" spans="29:37" s="49" customFormat="1" x14ac:dyDescent="0.35">
      <c r="AC109" s="424"/>
      <c r="AD109" s="424"/>
      <c r="AE109" s="424"/>
      <c r="AF109" s="424"/>
      <c r="AG109" s="564"/>
      <c r="AH109" s="564"/>
      <c r="AI109" s="564"/>
      <c r="AK109" s="81"/>
    </row>
    <row r="110" spans="29:37" s="49" customFormat="1" x14ac:dyDescent="0.35">
      <c r="AC110" s="424"/>
      <c r="AD110" s="424"/>
      <c r="AE110" s="424"/>
      <c r="AF110" s="424"/>
      <c r="AG110" s="564"/>
      <c r="AH110" s="564"/>
      <c r="AI110" s="564"/>
      <c r="AK110" s="81"/>
    </row>
    <row r="111" spans="29:37" s="49" customFormat="1" x14ac:dyDescent="0.35">
      <c r="AC111" s="424"/>
      <c r="AD111" s="424"/>
      <c r="AE111" s="424"/>
      <c r="AF111" s="424"/>
      <c r="AG111" s="564"/>
      <c r="AH111" s="564"/>
      <c r="AI111" s="564"/>
      <c r="AK111" s="81"/>
    </row>
    <row r="112" spans="29:37" s="49" customFormat="1" x14ac:dyDescent="0.35">
      <c r="AC112" s="424"/>
      <c r="AD112" s="424"/>
      <c r="AE112" s="424"/>
      <c r="AF112" s="424"/>
      <c r="AG112" s="564"/>
      <c r="AH112" s="564"/>
      <c r="AI112" s="564"/>
      <c r="AK112" s="81"/>
    </row>
    <row r="113" spans="29:38" s="49" customFormat="1" x14ac:dyDescent="0.35">
      <c r="AC113" s="424"/>
      <c r="AD113" s="424"/>
      <c r="AE113" s="424"/>
      <c r="AF113" s="424"/>
      <c r="AG113" s="564"/>
      <c r="AH113" s="564"/>
      <c r="AI113" s="564"/>
      <c r="AK113" s="81"/>
    </row>
    <row r="114" spans="29:38" s="49" customFormat="1" x14ac:dyDescent="0.35">
      <c r="AC114" s="424"/>
      <c r="AD114" s="424"/>
      <c r="AE114" s="424"/>
      <c r="AF114" s="424"/>
      <c r="AG114" s="564"/>
      <c r="AH114" s="564"/>
      <c r="AI114" s="564"/>
      <c r="AK114" s="81"/>
    </row>
    <row r="115" spans="29:38" s="49" customFormat="1" x14ac:dyDescent="0.35">
      <c r="AC115" s="424"/>
      <c r="AD115" s="424"/>
      <c r="AE115" s="424"/>
      <c r="AF115" s="424"/>
      <c r="AG115" s="564"/>
      <c r="AH115" s="564"/>
      <c r="AI115" s="564"/>
      <c r="AK115" s="81"/>
    </row>
    <row r="116" spans="29:38" s="49" customFormat="1" x14ac:dyDescent="0.35">
      <c r="AC116" s="424"/>
      <c r="AD116" s="424"/>
      <c r="AE116" s="424"/>
      <c r="AF116" s="424"/>
      <c r="AG116" s="564"/>
      <c r="AH116" s="564"/>
      <c r="AI116" s="564"/>
      <c r="AK116" s="81"/>
    </row>
    <row r="117" spans="29:38" s="49" customFormat="1" x14ac:dyDescent="0.35">
      <c r="AC117" s="424"/>
      <c r="AD117" s="424"/>
      <c r="AE117" s="424"/>
      <c r="AF117" s="424"/>
      <c r="AG117" s="564"/>
      <c r="AH117" s="564"/>
      <c r="AI117" s="564"/>
      <c r="AK117" s="81"/>
    </row>
    <row r="118" spans="29:38" s="49" customFormat="1" x14ac:dyDescent="0.35">
      <c r="AC118" s="424"/>
      <c r="AD118" s="424"/>
      <c r="AE118" s="424"/>
      <c r="AF118" s="424"/>
      <c r="AG118" s="564"/>
      <c r="AH118" s="564"/>
      <c r="AI118" s="564"/>
      <c r="AK118" s="81"/>
    </row>
    <row r="119" spans="29:38" s="49" customFormat="1" x14ac:dyDescent="0.35">
      <c r="AC119" s="424"/>
      <c r="AD119" s="424"/>
      <c r="AE119" s="424"/>
      <c r="AF119" s="424"/>
      <c r="AG119" s="564"/>
      <c r="AH119" s="564"/>
      <c r="AI119" s="564"/>
      <c r="AK119" s="81"/>
    </row>
    <row r="120" spans="29:38" s="49" customFormat="1" x14ac:dyDescent="0.35">
      <c r="AC120" s="424"/>
      <c r="AD120" s="424"/>
      <c r="AE120" s="424"/>
      <c r="AF120" s="424"/>
      <c r="AG120" s="564"/>
      <c r="AH120" s="564"/>
      <c r="AI120" s="564"/>
      <c r="AK120" s="81"/>
    </row>
    <row r="121" spans="29:38" s="49" customFormat="1" x14ac:dyDescent="0.35">
      <c r="AC121" s="424"/>
      <c r="AD121" s="424"/>
      <c r="AE121" s="424"/>
      <c r="AF121" s="424"/>
      <c r="AG121" s="564"/>
      <c r="AH121" s="564"/>
      <c r="AI121" s="564"/>
      <c r="AK121" s="81"/>
    </row>
    <row r="122" spans="29:38" s="49" customFormat="1" x14ac:dyDescent="0.35">
      <c r="AC122" s="424"/>
      <c r="AD122" s="424"/>
      <c r="AE122" s="424"/>
      <c r="AF122" s="424"/>
      <c r="AG122" s="564"/>
      <c r="AH122" s="564"/>
      <c r="AI122" s="564"/>
      <c r="AK122" s="81"/>
    </row>
    <row r="123" spans="29:38" s="49" customFormat="1" x14ac:dyDescent="0.35">
      <c r="AC123" s="424"/>
      <c r="AD123" s="424"/>
      <c r="AE123" s="424"/>
      <c r="AF123" s="424"/>
      <c r="AG123" s="564"/>
      <c r="AH123" s="564"/>
      <c r="AI123" s="564"/>
      <c r="AK123" s="46"/>
      <c r="AL123" s="44"/>
    </row>
    <row r="124" spans="29:38" s="49" customFormat="1" x14ac:dyDescent="0.35">
      <c r="AC124" s="424"/>
      <c r="AD124" s="424"/>
      <c r="AE124" s="424"/>
      <c r="AF124" s="424"/>
      <c r="AG124" s="564"/>
      <c r="AH124" s="564"/>
      <c r="AI124" s="564"/>
      <c r="AK124" s="46"/>
      <c r="AL124" s="44"/>
    </row>
    <row r="125" spans="29:38" s="49" customFormat="1" x14ac:dyDescent="0.35">
      <c r="AC125" s="424"/>
      <c r="AD125" s="424"/>
      <c r="AE125" s="424"/>
      <c r="AF125" s="424"/>
      <c r="AG125" s="564"/>
      <c r="AH125" s="564"/>
      <c r="AI125" s="564"/>
      <c r="AK125" s="46"/>
      <c r="AL125" s="44"/>
    </row>
    <row r="126" spans="29:38" s="49" customFormat="1" x14ac:dyDescent="0.35">
      <c r="AC126" s="424"/>
      <c r="AD126" s="424"/>
      <c r="AE126" s="424"/>
      <c r="AF126" s="424"/>
      <c r="AG126" s="564"/>
      <c r="AH126" s="564"/>
      <c r="AI126" s="564"/>
      <c r="AK126" s="46"/>
      <c r="AL126" s="44"/>
    </row>
    <row r="127" spans="29:38" s="49" customFormat="1" x14ac:dyDescent="0.35">
      <c r="AC127" s="424"/>
      <c r="AD127" s="424"/>
      <c r="AE127" s="424"/>
      <c r="AF127" s="424"/>
      <c r="AG127" s="564"/>
      <c r="AH127" s="564"/>
      <c r="AI127" s="564"/>
      <c r="AK127" s="46"/>
      <c r="AL127" s="44"/>
    </row>
    <row r="128" spans="29:38" s="49" customFormat="1" x14ac:dyDescent="0.35">
      <c r="AC128" s="424"/>
      <c r="AD128" s="424"/>
      <c r="AE128" s="424"/>
      <c r="AF128" s="424"/>
      <c r="AG128" s="564"/>
      <c r="AH128" s="564"/>
      <c r="AI128" s="564"/>
      <c r="AK128" s="46"/>
      <c r="AL128" s="44"/>
    </row>
    <row r="129" spans="2:40" s="49" customFormat="1" x14ac:dyDescent="0.35">
      <c r="AC129" s="424"/>
      <c r="AD129" s="424"/>
      <c r="AE129" s="424"/>
      <c r="AF129" s="424"/>
      <c r="AG129" s="564"/>
      <c r="AH129" s="564"/>
      <c r="AI129" s="564"/>
      <c r="AK129" s="46"/>
      <c r="AL129" s="44"/>
    </row>
    <row r="130" spans="2:40" s="49" customFormat="1" x14ac:dyDescent="0.35">
      <c r="AC130" s="424"/>
      <c r="AD130" s="424"/>
      <c r="AE130" s="424"/>
      <c r="AF130" s="424"/>
      <c r="AG130" s="564"/>
      <c r="AH130" s="564"/>
      <c r="AI130" s="564"/>
      <c r="AK130" s="46"/>
      <c r="AL130" s="44"/>
    </row>
    <row r="131" spans="2:40" x14ac:dyDescent="0.35">
      <c r="B131" s="49"/>
      <c r="C131" s="49"/>
      <c r="D131" s="49"/>
      <c r="E131" s="49"/>
      <c r="F131" s="49"/>
      <c r="G131" s="49"/>
      <c r="H131" s="49"/>
      <c r="I131" s="49"/>
      <c r="K131" s="49"/>
      <c r="L131" s="49"/>
      <c r="M131" s="49"/>
      <c r="N131" s="49"/>
      <c r="O131" s="49"/>
      <c r="P131" s="49"/>
      <c r="Q131" s="49"/>
      <c r="S131" s="49"/>
      <c r="T131" s="49"/>
      <c r="U131" s="49"/>
      <c r="V131" s="49"/>
      <c r="W131" s="49"/>
      <c r="X131" s="49"/>
      <c r="Y131" s="49"/>
      <c r="Z131" s="49"/>
      <c r="AA131" s="49"/>
      <c r="AN131" s="49"/>
    </row>
    <row r="132" spans="2:40" x14ac:dyDescent="0.35">
      <c r="B132" s="49"/>
      <c r="C132" s="49"/>
      <c r="D132" s="49"/>
      <c r="E132" s="49"/>
      <c r="F132" s="49"/>
      <c r="G132" s="49"/>
      <c r="H132" s="49"/>
      <c r="I132" s="49"/>
      <c r="K132" s="49"/>
      <c r="L132" s="49"/>
      <c r="M132" s="49"/>
      <c r="N132" s="49"/>
      <c r="O132" s="49"/>
      <c r="P132" s="49"/>
      <c r="Q132" s="49"/>
      <c r="S132" s="49"/>
      <c r="T132" s="49"/>
      <c r="U132" s="49"/>
      <c r="V132" s="49"/>
      <c r="W132" s="49"/>
      <c r="X132" s="49"/>
      <c r="Y132" s="49"/>
      <c r="Z132" s="49"/>
      <c r="AA132" s="49"/>
    </row>
    <row r="133" spans="2:40" x14ac:dyDescent="0.35">
      <c r="B133" s="49"/>
      <c r="C133" s="49"/>
      <c r="D133" s="49"/>
      <c r="E133" s="49"/>
      <c r="F133" s="49"/>
      <c r="G133" s="49"/>
      <c r="H133" s="49"/>
      <c r="I133" s="49"/>
    </row>
  </sheetData>
  <sheetProtection algorithmName="SHA-512" hashValue="fdWVEAN4eLn6rH2TKiRjNIkgE0qAVTZ7Gv7sVnpdQmoqmEvKnlYkFnv+Td3xWfap2AORjzaATvc+6KCHsbAsFQ==" saltValue="c0oQQLshcIrzrFbd5LMRhQ==" spinCount="100000" sheet="1" objects="1" scenarios="1"/>
  <mergeCells count="14">
    <mergeCell ref="K24:L24"/>
    <mergeCell ref="K25:L25"/>
    <mergeCell ref="K26:L26"/>
    <mergeCell ref="C9:D9"/>
    <mergeCell ref="C10:D10"/>
    <mergeCell ref="C11:D11"/>
    <mergeCell ref="K21:L21"/>
    <mergeCell ref="K22:L22"/>
    <mergeCell ref="K23:L23"/>
    <mergeCell ref="C8:D8"/>
    <mergeCell ref="AA3:AA6"/>
    <mergeCell ref="C5:D5"/>
    <mergeCell ref="C6:D6"/>
    <mergeCell ref="C7:D7"/>
  </mergeCells>
  <conditionalFormatting sqref="H5:H11">
    <cfRule type="dataBar" priority="268">
      <dataBar>
        <cfvo type="min"/>
        <cfvo type="max"/>
        <color rgb="FF63C384"/>
      </dataBar>
      <extLst>
        <ext xmlns:x14="http://schemas.microsoft.com/office/spreadsheetml/2009/9/main" uri="{B025F937-C7B1-47D3-B67F-A62EFF666E3E}">
          <x14:id>{E83296B6-4AB5-4AE1-877C-78567B6704B2}</x14:id>
        </ext>
      </extLst>
    </cfRule>
  </conditionalFormatting>
  <conditionalFormatting sqref="A1:AB2 A68:AB68 A4:R4 P5:R10 A7:N10 P12:AB13 A5:M6 P15:U37 P14 R14:U14 M40:N40 P39:U40 P38 R38:U38 AB14:AB44 J41:U42 J39:L39 J40:K40 A39:A67 J45:AB67 A78:AB1048576 AM78:XFD1048576 AM12:XFD68 AM1:XFD2 A3 R3 A14 J14:L14 AO3:XFD11 A12:N12 A11:J11 A38:L38 N36:N39 A19:N34 A15:L18 A13:L13 N13 J44:U44 J43:P43 R43:U43 N15:N18 M35:N35 A35:J37">
    <cfRule type="cellIs" dxfId="634" priority="213" operator="lessThan">
      <formula>0</formula>
    </cfRule>
  </conditionalFormatting>
  <conditionalFormatting sqref="V9:AB10 AB3:AB8 V6:AA7 AM9:AN10">
    <cfRule type="cellIs" dxfId="633" priority="208" operator="lessThan">
      <formula>0</formula>
    </cfRule>
  </conditionalFormatting>
  <conditionalFormatting sqref="S3 U3:AA3 V4:AA5 V8:AA8">
    <cfRule type="cellIs" dxfId="632" priority="207" operator="lessThan">
      <formula>0</formula>
    </cfRule>
  </conditionalFormatting>
  <conditionalFormatting sqref="AM3:AN8">
    <cfRule type="cellIs" dxfId="631" priority="205" operator="lessThan">
      <formula>0</formula>
    </cfRule>
  </conditionalFormatting>
  <conditionalFormatting sqref="O5:O10 O20:O26 O31:O34 O36:O40 O12 O29">
    <cfRule type="cellIs" dxfId="630" priority="204" operator="lessThan">
      <formula>0</formula>
    </cfRule>
  </conditionalFormatting>
  <conditionalFormatting sqref="N5">
    <cfRule type="cellIs" dxfId="629" priority="203" operator="lessThan">
      <formula>0</formula>
    </cfRule>
  </conditionalFormatting>
  <conditionalFormatting sqref="N6">
    <cfRule type="cellIs" dxfId="628" priority="202" operator="lessThan">
      <formula>0</formula>
    </cfRule>
  </conditionalFormatting>
  <conditionalFormatting sqref="O13">
    <cfRule type="cellIs" dxfId="627" priority="201" operator="lessThan">
      <formula>0</formula>
    </cfRule>
  </conditionalFormatting>
  <conditionalFormatting sqref="O19">
    <cfRule type="cellIs" dxfId="626" priority="200" operator="lessThan">
      <formula>0</formula>
    </cfRule>
  </conditionalFormatting>
  <conditionalFormatting sqref="O30">
    <cfRule type="cellIs" dxfId="625" priority="199" operator="lessThan">
      <formula>0</formula>
    </cfRule>
  </conditionalFormatting>
  <conditionalFormatting sqref="O35">
    <cfRule type="cellIs" dxfId="624" priority="198" operator="lessThan">
      <formula>0</formula>
    </cfRule>
  </conditionalFormatting>
  <conditionalFormatting sqref="Q14">
    <cfRule type="cellIs" dxfId="623" priority="197" operator="lessThan">
      <formula>0</formula>
    </cfRule>
  </conditionalFormatting>
  <conditionalFormatting sqref="L40">
    <cfRule type="cellIs" dxfId="622" priority="196" operator="lessThan">
      <formula>0</formula>
    </cfRule>
  </conditionalFormatting>
  <conditionalFormatting sqref="Q38">
    <cfRule type="cellIs" dxfId="621" priority="195" operator="lessThan">
      <formula>0</formula>
    </cfRule>
  </conditionalFormatting>
  <conditionalFormatting sqref="M38:M39">
    <cfRule type="cellIs" dxfId="620" priority="194" operator="lessThan">
      <formula>0</formula>
    </cfRule>
  </conditionalFormatting>
  <conditionalFormatting sqref="W41">
    <cfRule type="top10" dxfId="619" priority="180" rank="4"/>
  </conditionalFormatting>
  <conditionalFormatting sqref="X15:X28 X31:X32 X36:X40">
    <cfRule type="dataBar" priority="179">
      <dataBar>
        <cfvo type="min"/>
        <cfvo type="max"/>
        <color rgb="FF638EC6"/>
      </dataBar>
      <extLst>
        <ext xmlns:x14="http://schemas.microsoft.com/office/spreadsheetml/2009/9/main" uri="{B025F937-C7B1-47D3-B67F-A62EFF666E3E}">
          <x14:id>{FC327C69-9F80-4C4B-9D9E-C4639AE7C97A}</x14:id>
        </ext>
      </extLst>
    </cfRule>
  </conditionalFormatting>
  <conditionalFormatting sqref="Y41">
    <cfRule type="top10" dxfId="618" priority="178" rank="4"/>
  </conditionalFormatting>
  <conditionalFormatting sqref="Z15:Z28 Z31:Z32 Z36:Z40">
    <cfRule type="dataBar" priority="171">
      <dataBar>
        <cfvo type="min"/>
        <cfvo type="max"/>
        <color rgb="FF638EC6"/>
      </dataBar>
      <extLst>
        <ext xmlns:x14="http://schemas.microsoft.com/office/spreadsheetml/2009/9/main" uri="{B025F937-C7B1-47D3-B67F-A62EFF666E3E}">
          <x14:id>{82D0C86B-995C-4B17-B2D7-F957F7C130F8}</x14:id>
        </ext>
      </extLst>
    </cfRule>
  </conditionalFormatting>
  <conditionalFormatting sqref="AA41">
    <cfRule type="top10" dxfId="617" priority="170" rank="4"/>
  </conditionalFormatting>
  <conditionalFormatting sqref="V41:AA44 X14:X40 Z14:Z40">
    <cfRule type="cellIs" dxfId="616" priority="163" operator="lessThan">
      <formula>0</formula>
    </cfRule>
  </conditionalFormatting>
  <conditionalFormatting sqref="W15:W28">
    <cfRule type="top10" dxfId="615" priority="161" percent="1" bottom="1" rank="10"/>
    <cfRule type="top10" dxfId="614" priority="162" percent="1" rank="10"/>
  </conditionalFormatting>
  <conditionalFormatting sqref="W31:W32">
    <cfRule type="top10" dxfId="613" priority="159" percent="1" bottom="1" rank="10"/>
    <cfRule type="top10" dxfId="612" priority="160" percent="1" rank="10"/>
  </conditionalFormatting>
  <conditionalFormatting sqref="W36:W40">
    <cfRule type="top10" dxfId="611" priority="157" percent="1" bottom="1" rank="10"/>
    <cfRule type="top10" dxfId="610" priority="158" percent="1" rank="10"/>
  </conditionalFormatting>
  <conditionalFormatting sqref="W14:W40">
    <cfRule type="cellIs" dxfId="609" priority="156" operator="lessThan">
      <formula>0</formula>
    </cfRule>
  </conditionalFormatting>
  <conditionalFormatting sqref="V15:V28 V31:V32 V36:V40">
    <cfRule type="dataBar" priority="155">
      <dataBar>
        <cfvo type="min"/>
        <cfvo type="max"/>
        <color rgb="FF638EC6"/>
      </dataBar>
      <extLst>
        <ext xmlns:x14="http://schemas.microsoft.com/office/spreadsheetml/2009/9/main" uri="{B025F937-C7B1-47D3-B67F-A62EFF666E3E}">
          <x14:id>{25624074-31DC-419A-BB0F-8CA08CBCFDDA}</x14:id>
        </ext>
      </extLst>
    </cfRule>
  </conditionalFormatting>
  <conditionalFormatting sqref="V14:V40">
    <cfRule type="cellIs" dxfId="608" priority="154" operator="lessThan">
      <formula>0</formula>
    </cfRule>
  </conditionalFormatting>
  <conditionalFormatting sqref="W31:W32">
    <cfRule type="top10" dxfId="607" priority="152" percent="1" bottom="1" rank="10"/>
    <cfRule type="top10" dxfId="606" priority="153" percent="1" rank="10"/>
  </conditionalFormatting>
  <conditionalFormatting sqref="W36:W40">
    <cfRule type="top10" dxfId="605" priority="150" percent="1" bottom="1" rank="10"/>
    <cfRule type="top10" dxfId="604" priority="151" percent="1" rank="10"/>
  </conditionalFormatting>
  <conditionalFormatting sqref="O14:O18">
    <cfRule type="cellIs" dxfId="603" priority="149" operator="lessThan">
      <formula>0</formula>
    </cfRule>
  </conditionalFormatting>
  <conditionalFormatting sqref="F39:I39 B41:I67 E40:I40">
    <cfRule type="cellIs" dxfId="602" priority="148" operator="lessThan">
      <formula>0</formula>
    </cfRule>
  </conditionalFormatting>
  <conditionalFormatting sqref="A69:V74 AB69:AB74 A75:AB77 AM69:XFD77">
    <cfRule type="cellIs" dxfId="601" priority="147" operator="lessThan">
      <formula>0</formula>
    </cfRule>
  </conditionalFormatting>
  <conditionalFormatting sqref="AL29 AL33:AL34 AL41 AL43:AL45">
    <cfRule type="containsText" dxfId="600" priority="111" operator="containsText" text="suurem">
      <formula>NOT(ISERROR(SEARCH("suurem",AL29)))</formula>
    </cfRule>
  </conditionalFormatting>
  <conditionalFormatting sqref="AL29 AL33:AL34 AL41 AL43:AL45">
    <cfRule type="containsText" dxfId="599" priority="110" operator="containsText" text="pienempi">
      <formula>NOT(ISERROR(SEARCH("pienempi",AL29)))</formula>
    </cfRule>
  </conditionalFormatting>
  <conditionalFormatting sqref="AL14:AL42">
    <cfRule type="containsText" dxfId="598" priority="109" operator="containsText" text="suurem">
      <formula>NOT(ISERROR(SEARCH("suurem",AL14)))</formula>
    </cfRule>
  </conditionalFormatting>
  <conditionalFormatting sqref="AL14:AL42">
    <cfRule type="containsText" dxfId="597" priority="108" operator="containsText" text="pienempi">
      <formula>NOT(ISERROR(SEARCH("pienempi",AL14)))</formula>
    </cfRule>
  </conditionalFormatting>
  <conditionalFormatting sqref="AL14:AL42">
    <cfRule type="containsText" dxfId="596" priority="107" operator="containsText" text="pienemmät">
      <formula>NOT(ISERROR(SEARCH("pienemmät",AL14)))</formula>
    </cfRule>
  </conditionalFormatting>
  <conditionalFormatting sqref="AL15:AL24 AL27:AL28">
    <cfRule type="containsText" dxfId="595" priority="106" operator="containsText" text="suurem">
      <formula>NOT(ISERROR(SEARCH("suurem",AL15)))</formula>
    </cfRule>
  </conditionalFormatting>
  <conditionalFormatting sqref="AL15:AL24 AL27:AL28">
    <cfRule type="containsText" dxfId="594" priority="105" operator="containsText" text="pienempi">
      <formula>NOT(ISERROR(SEARCH("pienempi",AL15)))</formula>
    </cfRule>
  </conditionalFormatting>
  <conditionalFormatting sqref="AL15:AL24 AL27:AL28">
    <cfRule type="containsText" dxfId="593" priority="104" operator="containsText" text="pienemmät">
      <formula>NOT(ISERROR(SEARCH("pienemmät",AL15)))</formula>
    </cfRule>
  </conditionalFormatting>
  <conditionalFormatting sqref="AL25">
    <cfRule type="containsText" dxfId="592" priority="103" operator="containsText" text="suurem">
      <formula>NOT(ISERROR(SEARCH("suurem",AL25)))</formula>
    </cfRule>
  </conditionalFormatting>
  <conditionalFormatting sqref="AL25">
    <cfRule type="containsText" dxfId="591" priority="102" operator="containsText" text="pienempi">
      <formula>NOT(ISERROR(SEARCH("pienempi",AL25)))</formula>
    </cfRule>
  </conditionalFormatting>
  <conditionalFormatting sqref="AL25">
    <cfRule type="containsText" dxfId="590" priority="101" operator="containsText" text="pienemmät">
      <formula>NOT(ISERROR(SEARCH("pienemmät",AL25)))</formula>
    </cfRule>
  </conditionalFormatting>
  <conditionalFormatting sqref="AL26">
    <cfRule type="containsText" dxfId="589" priority="100" operator="containsText" text="suurem">
      <formula>NOT(ISERROR(SEARCH("suurem",AL26)))</formula>
    </cfRule>
  </conditionalFormatting>
  <conditionalFormatting sqref="AL26">
    <cfRule type="containsText" dxfId="588" priority="99" operator="containsText" text="pienempi">
      <formula>NOT(ISERROR(SEARCH("pienempi",AL26)))</formula>
    </cfRule>
  </conditionalFormatting>
  <conditionalFormatting sqref="AL26">
    <cfRule type="containsText" dxfId="587" priority="98" operator="containsText" text="pienemmät">
      <formula>NOT(ISERROR(SEARCH("pienemmät",AL26)))</formula>
    </cfRule>
  </conditionalFormatting>
  <conditionalFormatting sqref="AL30:AL32">
    <cfRule type="containsText" dxfId="586" priority="97" operator="containsText" text="suurem">
      <formula>NOT(ISERROR(SEARCH("suurem",AL30)))</formula>
    </cfRule>
  </conditionalFormatting>
  <conditionalFormatting sqref="AL30:AL32">
    <cfRule type="containsText" dxfId="585" priority="96" operator="containsText" text="pienempi">
      <formula>NOT(ISERROR(SEARCH("pienempi",AL30)))</formula>
    </cfRule>
  </conditionalFormatting>
  <conditionalFormatting sqref="AL30:AL32">
    <cfRule type="containsText" dxfId="584" priority="95" operator="containsText" text="pienemmät">
      <formula>NOT(ISERROR(SEARCH("pienemmät",AL30)))</formula>
    </cfRule>
  </conditionalFormatting>
  <conditionalFormatting sqref="AL35:AL37">
    <cfRule type="containsText" dxfId="583" priority="94" operator="containsText" text="suurem">
      <formula>NOT(ISERROR(SEARCH("suurem",AL35)))</formula>
    </cfRule>
  </conditionalFormatting>
  <conditionalFormatting sqref="AL35:AL37">
    <cfRule type="containsText" dxfId="582" priority="93" operator="containsText" text="pienempi">
      <formula>NOT(ISERROR(SEARCH("pienempi",AL35)))</formula>
    </cfRule>
  </conditionalFormatting>
  <conditionalFormatting sqref="AL35:AL37">
    <cfRule type="containsText" dxfId="581" priority="92" operator="containsText" text="pienemmät">
      <formula>NOT(ISERROR(SEARCH("pienemmät",AL35)))</formula>
    </cfRule>
  </conditionalFormatting>
  <conditionalFormatting sqref="AL40">
    <cfRule type="containsText" dxfId="580" priority="91" operator="containsText" text="suurem">
      <formula>NOT(ISERROR(SEARCH("suurem",AL40)))</formula>
    </cfRule>
  </conditionalFormatting>
  <conditionalFormatting sqref="AL40">
    <cfRule type="containsText" dxfId="579" priority="90" operator="containsText" text="pienempi">
      <formula>NOT(ISERROR(SEARCH("pienempi",AL40)))</formula>
    </cfRule>
  </conditionalFormatting>
  <conditionalFormatting sqref="AL40">
    <cfRule type="containsText" dxfId="578" priority="89" operator="containsText" text="pienemmät">
      <formula>NOT(ISERROR(SEARCH("pienemmät",AL40)))</formula>
    </cfRule>
  </conditionalFormatting>
  <conditionalFormatting sqref="AL38:AL39">
    <cfRule type="containsText" dxfId="577" priority="88" operator="containsText" text="suurem">
      <formula>NOT(ISERROR(SEARCH("suurem",AL38)))</formula>
    </cfRule>
  </conditionalFormatting>
  <conditionalFormatting sqref="AL38:AL39">
    <cfRule type="containsText" dxfId="576" priority="87" operator="containsText" text="pienempi">
      <formula>NOT(ISERROR(SEARCH("pienempi",AL38)))</formula>
    </cfRule>
  </conditionalFormatting>
  <conditionalFormatting sqref="AL38:AL39">
    <cfRule type="containsText" dxfId="575" priority="86" operator="containsText" text="pienemmät">
      <formula>NOT(ISERROR(SEARCH("pienemmät",AL38)))</formula>
    </cfRule>
  </conditionalFormatting>
  <conditionalFormatting sqref="AL42">
    <cfRule type="containsText" dxfId="574" priority="85" operator="containsText" text="suurem">
      <formula>NOT(ISERROR(SEARCH("suurem",AL42)))</formula>
    </cfRule>
  </conditionalFormatting>
  <conditionalFormatting sqref="AL42">
    <cfRule type="containsText" dxfId="573" priority="84" operator="containsText" text="pienempi">
      <formula>NOT(ISERROR(SEARCH("pienempi",AL42)))</formula>
    </cfRule>
  </conditionalFormatting>
  <conditionalFormatting sqref="AL42">
    <cfRule type="containsText" dxfId="572" priority="83" operator="containsText" text="pienemmät">
      <formula>NOT(ISERROR(SEARCH("pienemmät",AL42)))</formula>
    </cfRule>
  </conditionalFormatting>
  <conditionalFormatting sqref="AC1:AG10 AJ3:AJ8 AJ1:AL2 AC29:AG29 AC33:AG34 AC30:AF32 AC41:AG41 AC43:AG1048576 AC42:AF42 AJ9:AL10 AC13:AE13 AG13 AC14:AG15 AC35:AF40 AC16:AF28 AJ12:AL1048576 AC12:AG12">
    <cfRule type="cellIs" dxfId="571" priority="82" operator="lessThan">
      <formula>0</formula>
    </cfRule>
  </conditionalFormatting>
  <conditionalFormatting sqref="AK3:AL8">
    <cfRule type="cellIs" dxfId="570" priority="81" operator="lessThan">
      <formula>0</formula>
    </cfRule>
  </conditionalFormatting>
  <conditionalFormatting sqref="AG42">
    <cfRule type="cellIs" dxfId="569" priority="67" operator="lessThan">
      <formula>0</formula>
    </cfRule>
  </conditionalFormatting>
  <conditionalFormatting sqref="AH1:AH10 AH43:AH1048576 AH12">
    <cfRule type="cellIs" dxfId="568" priority="80" operator="lessThan">
      <formula>0</formula>
    </cfRule>
  </conditionalFormatting>
  <conditionalFormatting sqref="AH29 AH33:AH34 AH41 AH14:AH15">
    <cfRule type="cellIs" dxfId="567" priority="79" operator="lessThan">
      <formula>0</formula>
    </cfRule>
  </conditionalFormatting>
  <conditionalFormatting sqref="AH30:AH31">
    <cfRule type="cellIs" dxfId="566" priority="70" operator="lessThan">
      <formula>0</formula>
    </cfRule>
  </conditionalFormatting>
  <conditionalFormatting sqref="AG38:AG39">
    <cfRule type="cellIs" dxfId="565" priority="69" operator="lessThan">
      <formula>0</formula>
    </cfRule>
  </conditionalFormatting>
  <conditionalFormatting sqref="AH38:AH39">
    <cfRule type="cellIs" dxfId="564" priority="68" operator="lessThan">
      <formula>0</formula>
    </cfRule>
  </conditionalFormatting>
  <conditionalFormatting sqref="AH13">
    <cfRule type="cellIs" dxfId="563" priority="78" operator="lessThan">
      <formula>0</formula>
    </cfRule>
  </conditionalFormatting>
  <conditionalFormatting sqref="AG32">
    <cfRule type="cellIs" dxfId="562" priority="77" operator="lessThan">
      <formula>0</formula>
    </cfRule>
  </conditionalFormatting>
  <conditionalFormatting sqref="AH32">
    <cfRule type="cellIs" dxfId="561" priority="76" operator="lessThan">
      <formula>0</formula>
    </cfRule>
  </conditionalFormatting>
  <conditionalFormatting sqref="AG16:AG24">
    <cfRule type="cellIs" dxfId="560" priority="75" operator="lessThan">
      <formula>0</formula>
    </cfRule>
  </conditionalFormatting>
  <conditionalFormatting sqref="AH16:AH24">
    <cfRule type="cellIs" dxfId="559" priority="74" operator="lessThan">
      <formula>0</formula>
    </cfRule>
  </conditionalFormatting>
  <conditionalFormatting sqref="AG27:AG28">
    <cfRule type="cellIs" dxfId="558" priority="73" operator="lessThan">
      <formula>0</formula>
    </cfRule>
  </conditionalFormatting>
  <conditionalFormatting sqref="AH27:AH28">
    <cfRule type="cellIs" dxfId="557" priority="72" operator="lessThan">
      <formula>0</formula>
    </cfRule>
  </conditionalFormatting>
  <conditionalFormatting sqref="AG30:AG31">
    <cfRule type="cellIs" dxfId="556" priority="71" operator="lessThan">
      <formula>0</formula>
    </cfRule>
  </conditionalFormatting>
  <conditionalFormatting sqref="AH42">
    <cfRule type="cellIs" dxfId="555" priority="66" operator="lessThan">
      <formula>0</formula>
    </cfRule>
  </conditionalFormatting>
  <conditionalFormatting sqref="AG25:AG26">
    <cfRule type="cellIs" dxfId="554" priority="65" operator="lessThan">
      <formula>0</formula>
    </cfRule>
  </conditionalFormatting>
  <conditionalFormatting sqref="AH25:AH26">
    <cfRule type="cellIs" dxfId="553" priority="64" operator="lessThan">
      <formula>0</formula>
    </cfRule>
  </conditionalFormatting>
  <conditionalFormatting sqref="AG35:AG37">
    <cfRule type="cellIs" dxfId="552" priority="63" operator="lessThan">
      <formula>0</formula>
    </cfRule>
  </conditionalFormatting>
  <conditionalFormatting sqref="AH35:AH37">
    <cfRule type="cellIs" dxfId="551" priority="62" operator="lessThan">
      <formula>0</formula>
    </cfRule>
  </conditionalFormatting>
  <conditionalFormatting sqref="AG40">
    <cfRule type="cellIs" dxfId="550" priority="61" operator="lessThan">
      <formula>0</formula>
    </cfRule>
  </conditionalFormatting>
  <conditionalFormatting sqref="AH40">
    <cfRule type="cellIs" dxfId="549" priority="60" operator="lessThan">
      <formula>0</formula>
    </cfRule>
  </conditionalFormatting>
  <conditionalFormatting sqref="AI1:AI10 AI14:AI1048576 AI12">
    <cfRule type="cellIs" dxfId="548" priority="59" operator="lessThan">
      <formula>0</formula>
    </cfRule>
  </conditionalFormatting>
  <conditionalFormatting sqref="AI13">
    <cfRule type="cellIs" dxfId="547" priority="58" operator="lessThan">
      <formula>0</formula>
    </cfRule>
  </conditionalFormatting>
  <conditionalFormatting sqref="B39:D40">
    <cfRule type="cellIs" dxfId="546" priority="46" operator="lessThan">
      <formula>0</formula>
    </cfRule>
  </conditionalFormatting>
  <conditionalFormatting sqref="P3">
    <cfRule type="containsText" dxfId="545" priority="57" operator="containsText" text="Tarkista">
      <formula>NOT(ISERROR(SEARCH("Tarkista",P3)))</formula>
    </cfRule>
  </conditionalFormatting>
  <conditionalFormatting sqref="J3:Q3">
    <cfRule type="cellIs" dxfId="544" priority="56" operator="lessThan">
      <formula>0</formula>
    </cfRule>
  </conditionalFormatting>
  <conditionalFormatting sqref="B3:I3">
    <cfRule type="cellIs" dxfId="543" priority="55" operator="lessThan">
      <formula>0</formula>
    </cfRule>
  </conditionalFormatting>
  <conditionalFormatting sqref="B14:H14">
    <cfRule type="cellIs" dxfId="542" priority="54" operator="lessThan">
      <formula>0</formula>
    </cfRule>
  </conditionalFormatting>
  <conditionalFormatting sqref="I14">
    <cfRule type="cellIs" dxfId="541" priority="53" operator="lessThan">
      <formula>0</formula>
    </cfRule>
  </conditionalFormatting>
  <conditionalFormatting sqref="K11:R11 AB11:AG11 AJ11">
    <cfRule type="cellIs" dxfId="540" priority="52" operator="lessThan">
      <formula>0</formula>
    </cfRule>
  </conditionalFormatting>
  <conditionalFormatting sqref="AH11">
    <cfRule type="cellIs" dxfId="539" priority="51" operator="lessThan">
      <formula>0</formula>
    </cfRule>
  </conditionalFormatting>
  <conditionalFormatting sqref="AI11">
    <cfRule type="cellIs" dxfId="538" priority="50" operator="lessThan">
      <formula>0</formula>
    </cfRule>
  </conditionalFormatting>
  <conditionalFormatting sqref="P11">
    <cfRule type="containsText" dxfId="537" priority="49" operator="containsText" text="Tarkista">
      <formula>NOT(ISERROR(SEARCH("Tarkista",P11)))</formula>
    </cfRule>
  </conditionalFormatting>
  <conditionalFormatting sqref="S11:AA11">
    <cfRule type="cellIs" dxfId="536" priority="48" operator="lessThan">
      <formula>0</formula>
    </cfRule>
  </conditionalFormatting>
  <conditionalFormatting sqref="AK11:AN11">
    <cfRule type="cellIs" dxfId="535" priority="47" operator="lessThan">
      <formula>0</formula>
    </cfRule>
  </conditionalFormatting>
  <conditionalFormatting sqref="M36:M37">
    <cfRule type="cellIs" dxfId="534" priority="45" operator="lessThan">
      <formula>0</formula>
    </cfRule>
  </conditionalFormatting>
  <conditionalFormatting sqref="M13:M18">
    <cfRule type="cellIs" dxfId="533" priority="44" operator="lessThan">
      <formula>0</formula>
    </cfRule>
  </conditionalFormatting>
  <conditionalFormatting sqref="Q43">
    <cfRule type="cellIs" dxfId="532" priority="43" operator="lessThan">
      <formula>0</formula>
    </cfRule>
  </conditionalFormatting>
  <conditionalFormatting sqref="N14">
    <cfRule type="cellIs" dxfId="531" priority="42" operator="lessThan">
      <formula>0</formula>
    </cfRule>
  </conditionalFormatting>
  <conditionalFormatting sqref="Y15:Y28">
    <cfRule type="top10" dxfId="530" priority="40" percent="1" bottom="1" rank="10"/>
    <cfRule type="top10" dxfId="529" priority="41" percent="1" rank="10"/>
  </conditionalFormatting>
  <conditionalFormatting sqref="Y31:Y32">
    <cfRule type="top10" dxfId="528" priority="38" percent="1" bottom="1" rank="10"/>
    <cfRule type="top10" dxfId="527" priority="39" percent="1" rank="10"/>
  </conditionalFormatting>
  <conditionalFormatting sqref="Y36:Y40">
    <cfRule type="top10" dxfId="526" priority="36" percent="1" bottom="1" rank="10"/>
    <cfRule type="top10" dxfId="525" priority="37" percent="1" rank="10"/>
  </conditionalFormatting>
  <conditionalFormatting sqref="Y15:Y29 Y31:Y34 Y36:Y40">
    <cfRule type="cellIs" dxfId="524" priority="35" operator="lessThan">
      <formula>0</formula>
    </cfRule>
  </conditionalFormatting>
  <conditionalFormatting sqref="Y31:Y32">
    <cfRule type="top10" dxfId="523" priority="33" percent="1" bottom="1" rank="10"/>
    <cfRule type="top10" dxfId="522" priority="34" percent="1" rank="10"/>
  </conditionalFormatting>
  <conditionalFormatting sqref="Y36:Y40">
    <cfRule type="top10" dxfId="521" priority="31" percent="1" bottom="1" rank="10"/>
    <cfRule type="top10" dxfId="520" priority="32" percent="1" rank="10"/>
  </conditionalFormatting>
  <conditionalFormatting sqref="Y14">
    <cfRule type="cellIs" dxfId="519" priority="30" operator="lessThan">
      <formula>0</formula>
    </cfRule>
  </conditionalFormatting>
  <conditionalFormatting sqref="Y30">
    <cfRule type="cellIs" dxfId="518" priority="29" operator="lessThan">
      <formula>0</formula>
    </cfRule>
  </conditionalFormatting>
  <conditionalFormatting sqref="Y35">
    <cfRule type="cellIs" dxfId="517" priority="28" operator="lessThan">
      <formula>0</formula>
    </cfRule>
  </conditionalFormatting>
  <conditionalFormatting sqref="AA15:AA28">
    <cfRule type="top10" dxfId="516" priority="26" percent="1" bottom="1" rank="10"/>
    <cfRule type="top10" dxfId="515" priority="27" percent="1" rank="10"/>
  </conditionalFormatting>
  <conditionalFormatting sqref="AA31:AA32">
    <cfRule type="top10" dxfId="514" priority="24" percent="1" bottom="1" rank="10"/>
    <cfRule type="top10" dxfId="513" priority="25" percent="1" rank="10"/>
  </conditionalFormatting>
  <conditionalFormatting sqref="AA36:AA40">
    <cfRule type="top10" dxfId="512" priority="22" percent="1" bottom="1" rank="10"/>
    <cfRule type="top10" dxfId="511" priority="23" percent="1" rank="10"/>
  </conditionalFormatting>
  <conditionalFormatting sqref="AA15:AA29 AA31:AA34 AA36:AA40">
    <cfRule type="cellIs" dxfId="510" priority="21" operator="lessThan">
      <formula>0</formula>
    </cfRule>
  </conditionalFormatting>
  <conditionalFormatting sqref="AA31:AA32">
    <cfRule type="top10" dxfId="509" priority="19" percent="1" bottom="1" rank="10"/>
    <cfRule type="top10" dxfId="508" priority="20" percent="1" rank="10"/>
  </conditionalFormatting>
  <conditionalFormatting sqref="AA36:AA40">
    <cfRule type="top10" dxfId="507" priority="17" percent="1" bottom="1" rank="10"/>
    <cfRule type="top10" dxfId="506" priority="18" percent="1" rank="10"/>
  </conditionalFormatting>
  <conditionalFormatting sqref="AA14">
    <cfRule type="cellIs" dxfId="505" priority="16" operator="lessThan">
      <formula>0</formula>
    </cfRule>
  </conditionalFormatting>
  <conditionalFormatting sqref="AA30">
    <cfRule type="cellIs" dxfId="504" priority="15" operator="lessThan">
      <formula>0</formula>
    </cfRule>
  </conditionalFormatting>
  <conditionalFormatting sqref="AA35">
    <cfRule type="cellIs" dxfId="503" priority="14" operator="lessThan">
      <formula>0</formula>
    </cfRule>
  </conditionalFormatting>
  <conditionalFormatting sqref="O27:O28">
    <cfRule type="cellIs" dxfId="502" priority="13" operator="lessThan">
      <formula>0</formula>
    </cfRule>
  </conditionalFormatting>
  <conditionalFormatting sqref="T8:U8 S6:U7">
    <cfRule type="cellIs" dxfId="501" priority="7" operator="lessThan">
      <formula>0</formula>
    </cfRule>
  </conditionalFormatting>
  <conditionalFormatting sqref="S4:U4 T5:U5">
    <cfRule type="cellIs" dxfId="500" priority="6" operator="lessThan">
      <formula>0</formula>
    </cfRule>
  </conditionalFormatting>
  <conditionalFormatting sqref="S8">
    <cfRule type="cellIs" dxfId="499" priority="5" operator="lessThan">
      <formula>0</formula>
    </cfRule>
  </conditionalFormatting>
  <conditionalFormatting sqref="S9:T9 T10">
    <cfRule type="cellIs" dxfId="498" priority="4" operator="lessThan">
      <formula>0</formula>
    </cfRule>
  </conditionalFormatting>
  <conditionalFormatting sqref="S10 U10">
    <cfRule type="cellIs" dxfId="497" priority="3" operator="lessThan">
      <formula>0</formula>
    </cfRule>
  </conditionalFormatting>
  <conditionalFormatting sqref="K36:L37 K35">
    <cfRule type="cellIs" dxfId="496" priority="2" operator="lessThan">
      <formula>0</formula>
    </cfRule>
  </conditionalFormatting>
  <conditionalFormatting sqref="L35">
    <cfRule type="cellIs" dxfId="495" priority="1" operator="lessThan">
      <formula>0</formula>
    </cfRule>
  </conditionalFormatting>
  <pageMargins left="0.7" right="0.7" top="0.75" bottom="0.75" header="0.3" footer="0.3"/>
  <pageSetup paperSize="9" orientation="portrait" horizontalDpi="300" verticalDpi="300" r:id="rId1"/>
  <drawing r:id="rId2"/>
  <legacyDrawing r:id="rId3"/>
  <extLst>
    <ext xmlns:x14="http://schemas.microsoft.com/office/spreadsheetml/2009/9/main" uri="{78C0D931-6437-407d-A8EE-F0AAD7539E65}">
      <x14:conditionalFormattings>
        <x14:conditionalFormatting xmlns:xm="http://schemas.microsoft.com/office/excel/2006/main">
          <x14:cfRule type="dataBar" id="{E83296B6-4AB5-4AE1-877C-78567B6704B2}">
            <x14:dataBar minLength="0" maxLength="100" border="1" negativeBarBorderColorSameAsPositive="0">
              <x14:cfvo type="autoMin"/>
              <x14:cfvo type="autoMax"/>
              <x14:borderColor rgb="FF63C384"/>
              <x14:negativeFillColor rgb="FFFF0000"/>
              <x14:negativeBorderColor rgb="FFFF0000"/>
              <x14:axisColor rgb="FF000000"/>
            </x14:dataBar>
          </x14:cfRule>
          <xm:sqref>H5:H11</xm:sqref>
        </x14:conditionalFormatting>
        <x14:conditionalFormatting xmlns:xm="http://schemas.microsoft.com/office/excel/2006/main">
          <x14:cfRule type="dataBar" id="{FC327C69-9F80-4C4B-9D9E-C4639AE7C97A}">
            <x14:dataBar minLength="0" maxLength="100" border="1" negativeBarBorderColorSameAsPositive="0">
              <x14:cfvo type="autoMin"/>
              <x14:cfvo type="autoMax"/>
              <x14:borderColor rgb="FF638EC6"/>
              <x14:negativeFillColor rgb="FFFF0000"/>
              <x14:negativeBorderColor rgb="FFFF0000"/>
              <x14:axisColor rgb="FF000000"/>
            </x14:dataBar>
          </x14:cfRule>
          <xm:sqref>X15:X28 X31:X32 X36:X40</xm:sqref>
        </x14:conditionalFormatting>
        <x14:conditionalFormatting xmlns:xm="http://schemas.microsoft.com/office/excel/2006/main">
          <x14:cfRule type="dataBar" id="{82D0C86B-995C-4B17-B2D7-F957F7C130F8}">
            <x14:dataBar minLength="0" maxLength="100" border="1" negativeBarBorderColorSameAsPositive="0">
              <x14:cfvo type="autoMin"/>
              <x14:cfvo type="autoMax"/>
              <x14:borderColor rgb="FF638EC6"/>
              <x14:negativeFillColor rgb="FFFF0000"/>
              <x14:negativeBorderColor rgb="FFFF0000"/>
              <x14:axisColor rgb="FF000000"/>
            </x14:dataBar>
          </x14:cfRule>
          <xm:sqref>Z15:Z28 Z31:Z32 Z36:Z40</xm:sqref>
        </x14:conditionalFormatting>
        <x14:conditionalFormatting xmlns:xm="http://schemas.microsoft.com/office/excel/2006/main">
          <x14:cfRule type="dataBar" id="{25624074-31DC-419A-BB0F-8CA08CBCFDDA}">
            <x14:dataBar minLength="0" maxLength="100" border="1" negativeBarBorderColorSameAsPositive="0">
              <x14:cfvo type="autoMin"/>
              <x14:cfvo type="autoMax"/>
              <x14:borderColor rgb="FF638EC6"/>
              <x14:negativeFillColor rgb="FFFF0000"/>
              <x14:negativeBorderColor rgb="FFFF0000"/>
              <x14:axisColor rgb="FF000000"/>
            </x14:dataBar>
          </x14:cfRule>
          <xm:sqref>V15:V28 V31:V32 V36:V40</xm:sqref>
        </x14:conditionalFormatting>
      </x14:conditionalFormattings>
    </ext>
  </extLs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99CC"/>
  </sheetPr>
  <dimension ref="A1:BG133"/>
  <sheetViews>
    <sheetView topLeftCell="J1" zoomScaleNormal="100" workbookViewId="0">
      <pane ySplit="1" topLeftCell="A2" activePane="bottomLeft" state="frozen"/>
      <selection activeCell="E1" sqref="E1"/>
      <selection pane="bottomLeft" activeCell="E1" sqref="E1"/>
    </sheetView>
  </sheetViews>
  <sheetFormatPr defaultColWidth="9.1796875" defaultRowHeight="14.5" x14ac:dyDescent="0.35"/>
  <cols>
    <col min="1" max="1" width="2.6328125" style="49" customWidth="1"/>
    <col min="2" max="2" width="2.6328125" style="44" customWidth="1"/>
    <col min="3" max="8" width="10.6328125" style="44" customWidth="1"/>
    <col min="9" max="9" width="12.6328125" style="44" customWidth="1"/>
    <col min="10" max="10" width="2.6328125" style="49" customWidth="1"/>
    <col min="11" max="11" width="17.6328125" style="44" customWidth="1"/>
    <col min="12" max="12" width="11.6328125" style="44" customWidth="1"/>
    <col min="13" max="13" width="10.6328125" style="44" customWidth="1"/>
    <col min="14" max="14" width="8.6328125" style="44" customWidth="1"/>
    <col min="15" max="15" width="11.6328125" style="44" customWidth="1"/>
    <col min="16" max="17" width="10.6328125" style="44" customWidth="1"/>
    <col min="18" max="18" width="2.6328125" style="49" customWidth="1"/>
    <col min="19" max="19" width="2.6328125" style="44" customWidth="1"/>
    <col min="20" max="20" width="14.6328125" style="44" customWidth="1"/>
    <col min="21" max="21" width="8.6328125" style="44" customWidth="1"/>
    <col min="22" max="27" width="10.6328125" style="44" customWidth="1"/>
    <col min="28" max="28" width="2.6328125" style="49" customWidth="1"/>
    <col min="29" max="32" width="10.6328125" style="424" hidden="1" customWidth="1"/>
    <col min="33" max="35" width="10.6328125" style="564" hidden="1" customWidth="1"/>
    <col min="36" max="36" width="2.6328125" style="49" customWidth="1"/>
    <col min="37" max="37" width="29.453125" style="46" customWidth="1"/>
    <col min="38" max="38" width="36.6328125" style="44" bestFit="1" customWidth="1"/>
    <col min="39" max="39" width="2.6328125" style="49" customWidth="1"/>
    <col min="40" max="40" width="72" style="44" customWidth="1"/>
    <col min="41" max="49" width="10.6328125" style="49" customWidth="1"/>
    <col min="50" max="59" width="9.1796875" style="49"/>
    <col min="60" max="16384" width="9.1796875" style="44"/>
  </cols>
  <sheetData>
    <row r="1" spans="1:59" s="410" customFormat="1" ht="27" customHeight="1" x14ac:dyDescent="0.35">
      <c r="A1" s="408"/>
      <c r="B1" s="408"/>
      <c r="C1" s="408"/>
      <c r="D1" s="409"/>
      <c r="E1" s="409" t="s">
        <v>521</v>
      </c>
      <c r="F1" s="408"/>
      <c r="G1" s="408"/>
      <c r="H1" s="408"/>
      <c r="I1" s="408"/>
      <c r="J1" s="408"/>
      <c r="K1" s="408" t="str">
        <f>CONCATENATE(Etusivu!$F$10,," ",Etusivu!$G$10,", ",Etusivu!$F$7," ",Etusivu!$G$7)</f>
        <v>Laskelman laatija: Lappari-elinkeino -hanke, Laskelmavuosi: 2021</v>
      </c>
      <c r="L1" s="408"/>
      <c r="M1" s="408"/>
      <c r="N1" s="408"/>
      <c r="O1" s="408"/>
      <c r="P1" s="408"/>
      <c r="Q1" s="411"/>
      <c r="R1" s="408"/>
      <c r="S1" s="408"/>
      <c r="T1" s="408"/>
      <c r="U1" s="408"/>
      <c r="V1" s="408"/>
      <c r="W1" s="408"/>
      <c r="X1" s="408"/>
      <c r="Y1" s="408"/>
      <c r="Z1" s="408"/>
      <c r="AA1" s="408"/>
      <c r="AB1" s="408"/>
      <c r="AC1" s="558"/>
      <c r="AD1" s="558"/>
      <c r="AE1" s="558"/>
      <c r="AF1" s="558"/>
      <c r="AG1" s="563"/>
      <c r="AH1" s="563"/>
      <c r="AI1" s="563"/>
      <c r="AJ1" s="408"/>
      <c r="AK1" s="408"/>
      <c r="AL1" s="408"/>
      <c r="AM1" s="408"/>
      <c r="AN1" s="408"/>
      <c r="AO1" s="408"/>
      <c r="AP1" s="408"/>
      <c r="AQ1" s="408"/>
      <c r="AR1" s="408"/>
      <c r="AS1" s="408"/>
      <c r="AT1" s="408"/>
      <c r="AU1" s="408"/>
      <c r="AV1" s="408"/>
      <c r="AW1" s="408"/>
      <c r="AX1" s="408"/>
      <c r="AY1" s="408"/>
      <c r="AZ1" s="408"/>
      <c r="BA1" s="408"/>
      <c r="BB1" s="408"/>
      <c r="BC1" s="408"/>
      <c r="BD1" s="408"/>
      <c r="BE1" s="408"/>
      <c r="BF1" s="408"/>
      <c r="BG1" s="408"/>
    </row>
    <row r="2" spans="1:59" s="2" customFormat="1" ht="14.25" customHeight="1" x14ac:dyDescent="0.35">
      <c r="A2" s="3"/>
      <c r="B2" s="4"/>
      <c r="C2" s="1"/>
      <c r="D2" s="1"/>
      <c r="E2" s="1"/>
      <c r="F2" s="1"/>
      <c r="G2" s="1"/>
      <c r="H2" s="1"/>
      <c r="I2" s="1"/>
      <c r="J2" s="1"/>
      <c r="K2" s="216"/>
      <c r="L2" s="1"/>
      <c r="M2" s="1"/>
      <c r="N2" s="1"/>
      <c r="O2" s="1"/>
      <c r="P2" s="1"/>
      <c r="Q2" s="1"/>
      <c r="R2" s="1"/>
      <c r="S2" s="1"/>
      <c r="T2" s="1"/>
      <c r="U2" s="1"/>
      <c r="V2" s="1"/>
      <c r="W2" s="1"/>
      <c r="X2" s="1"/>
      <c r="Y2" s="1"/>
      <c r="Z2" s="1"/>
      <c r="AA2" s="1"/>
      <c r="AB2" s="1"/>
      <c r="AC2" s="559"/>
      <c r="AD2" s="559"/>
      <c r="AE2" s="559"/>
      <c r="AF2" s="559"/>
      <c r="AG2" s="564"/>
      <c r="AH2" s="564"/>
      <c r="AI2" s="564"/>
      <c r="AJ2" s="1"/>
      <c r="AK2" s="1"/>
      <c r="AL2" s="1"/>
      <c r="AM2" s="1"/>
      <c r="AN2" s="1"/>
      <c r="AO2" s="1"/>
      <c r="AP2" s="1"/>
      <c r="AQ2" s="1"/>
      <c r="AR2" s="1"/>
      <c r="AS2" s="1"/>
      <c r="AT2" s="1"/>
      <c r="AU2" s="1"/>
      <c r="AV2" s="1"/>
      <c r="AW2" s="1"/>
      <c r="AX2" s="1"/>
      <c r="AY2" s="1"/>
      <c r="AZ2" s="1"/>
      <c r="BA2" s="1"/>
      <c r="BB2" s="1"/>
      <c r="BC2" s="1"/>
      <c r="BD2" s="1"/>
      <c r="BE2" s="1"/>
      <c r="BF2" s="1"/>
      <c r="BG2" s="1"/>
    </row>
    <row r="3" spans="1:59" ht="20" customHeight="1" thickBot="1" x14ac:dyDescent="0.5">
      <c r="B3" s="575" t="s">
        <v>0</v>
      </c>
      <c r="C3" s="575"/>
      <c r="D3" s="575"/>
      <c r="E3" s="575"/>
      <c r="F3" s="575"/>
      <c r="G3" s="575"/>
      <c r="H3" s="575"/>
      <c r="I3" s="575"/>
      <c r="K3" s="575" t="s">
        <v>475</v>
      </c>
      <c r="L3" s="576"/>
      <c r="M3" s="576"/>
      <c r="N3" s="576"/>
      <c r="O3" s="577" t="s">
        <v>519</v>
      </c>
      <c r="P3" s="578">
        <f>IF(E9=0,"Tarkista",E9)</f>
        <v>8</v>
      </c>
      <c r="Q3" s="579" t="s">
        <v>79</v>
      </c>
      <c r="S3" s="39"/>
      <c r="U3" s="39"/>
      <c r="V3" s="39"/>
      <c r="W3" s="39"/>
      <c r="X3" s="39"/>
      <c r="Y3" s="39"/>
      <c r="Z3" s="39"/>
      <c r="AA3" s="876"/>
      <c r="AK3" s="43"/>
      <c r="AL3" s="43"/>
      <c r="AN3" s="43"/>
    </row>
    <row r="4" spans="1:59" ht="22.5" thickTop="1" x14ac:dyDescent="0.35">
      <c r="B4" s="39"/>
      <c r="C4" s="39"/>
      <c r="D4" s="39"/>
      <c r="E4" s="50" t="s">
        <v>84</v>
      </c>
      <c r="F4" s="50" t="s">
        <v>418</v>
      </c>
      <c r="G4" s="50" t="s">
        <v>1</v>
      </c>
      <c r="H4" s="50" t="s">
        <v>406</v>
      </c>
      <c r="I4" s="50" t="s">
        <v>2</v>
      </c>
      <c r="K4" s="51" t="s">
        <v>77</v>
      </c>
      <c r="L4" s="294" t="s">
        <v>281</v>
      </c>
      <c r="M4" s="663" t="s">
        <v>628</v>
      </c>
      <c r="N4" s="401" t="s">
        <v>21</v>
      </c>
      <c r="O4" s="402" t="s">
        <v>82</v>
      </c>
      <c r="P4" s="184" t="s">
        <v>486</v>
      </c>
      <c r="Q4" s="184"/>
      <c r="S4" s="677" t="s">
        <v>663</v>
      </c>
      <c r="T4" s="678"/>
      <c r="U4" s="679"/>
      <c r="V4" s="39"/>
      <c r="W4" s="39"/>
      <c r="X4" s="39"/>
      <c r="Y4" s="39"/>
      <c r="Z4" s="39"/>
      <c r="AA4" s="876"/>
    </row>
    <row r="5" spans="1:59" ht="15" customHeight="1" x14ac:dyDescent="0.35">
      <c r="B5" s="9">
        <v>1</v>
      </c>
      <c r="C5" s="874" t="s">
        <v>770</v>
      </c>
      <c r="D5" s="875"/>
      <c r="E5" s="215">
        <f>'Rehun käyttö, nettosato'!E5</f>
        <v>20</v>
      </c>
      <c r="F5" s="36">
        <f>'Rehun käyttö, nettosato'!F5</f>
        <v>6000</v>
      </c>
      <c r="G5" s="36">
        <f t="shared" ref="G5:G10" si="0">E5*F5</f>
        <v>120000</v>
      </c>
      <c r="H5" s="53">
        <f>IF(E5=0,0,Energiantarve!O11)</f>
        <v>56407.14263249292</v>
      </c>
      <c r="I5" s="53">
        <f>Energiantarve!P11</f>
        <v>1128142.8526498585</v>
      </c>
      <c r="K5" s="14" t="s">
        <v>4</v>
      </c>
      <c r="L5" s="36">
        <f>Lähtötiedot!L10</f>
        <v>9760</v>
      </c>
      <c r="M5" s="36">
        <f>G9</f>
        <v>1952</v>
      </c>
      <c r="N5" s="124">
        <f>IF(M5=0,0,L5/M5)</f>
        <v>5</v>
      </c>
      <c r="O5" s="269">
        <f>IF(P$3="Tarkista",0,M5*N5/P$3)</f>
        <v>1220</v>
      </c>
      <c r="P5" s="184" t="s">
        <v>4</v>
      </c>
      <c r="Q5" s="220">
        <f>O5</f>
        <v>1220</v>
      </c>
      <c r="S5" s="680"/>
      <c r="T5" s="671">
        <f>V42/100</f>
        <v>7.5318903259692851</v>
      </c>
      <c r="U5" s="681" t="s">
        <v>674</v>
      </c>
      <c r="V5" s="39"/>
      <c r="W5" s="39"/>
      <c r="X5" s="39"/>
      <c r="Y5" s="39"/>
      <c r="Z5" s="39"/>
      <c r="AA5" s="876"/>
    </row>
    <row r="6" spans="1:59" x14ac:dyDescent="0.35">
      <c r="B6" s="9">
        <v>2</v>
      </c>
      <c r="C6" s="874" t="s">
        <v>771</v>
      </c>
      <c r="D6" s="875"/>
      <c r="E6" s="215">
        <f>'Rehun käyttö, nettosato'!E6</f>
        <v>4</v>
      </c>
      <c r="F6" s="36">
        <f>'Rehun käyttö, nettosato'!F6</f>
        <v>1</v>
      </c>
      <c r="G6" s="36">
        <f t="shared" si="0"/>
        <v>4</v>
      </c>
      <c r="H6" s="53">
        <f>IF(E6=0,0,Energiantarve!O17/(Energiantarve!I14/365))</f>
        <v>27081.950718685832</v>
      </c>
      <c r="I6" s="53">
        <f>Energiantarve!P17</f>
        <v>216804</v>
      </c>
      <c r="K6" s="14" t="s">
        <v>5</v>
      </c>
      <c r="L6" s="36">
        <f>Lähtötiedot!L11</f>
        <v>3312</v>
      </c>
      <c r="M6" s="36">
        <f>G10</f>
        <v>1104</v>
      </c>
      <c r="N6" s="124">
        <f>IF(M6=0,0,L6/M6)</f>
        <v>3</v>
      </c>
      <c r="O6" s="269">
        <f>IF(P$3="Tarkista",0,M6*N6/P$3)</f>
        <v>414</v>
      </c>
      <c r="P6" s="184" t="s">
        <v>5</v>
      </c>
      <c r="Q6" s="220">
        <f>O6</f>
        <v>414</v>
      </c>
      <c r="S6" s="682" t="s">
        <v>665</v>
      </c>
      <c r="T6" s="672"/>
      <c r="U6" s="683"/>
      <c r="V6" s="39"/>
      <c r="W6" s="39"/>
      <c r="X6" s="39"/>
      <c r="Y6" s="39"/>
      <c r="Z6" s="39"/>
      <c r="AA6" s="876"/>
    </row>
    <row r="7" spans="1:59" ht="15.75" customHeight="1" x14ac:dyDescent="0.35">
      <c r="B7" s="9">
        <v>3</v>
      </c>
      <c r="C7" s="874" t="s">
        <v>3</v>
      </c>
      <c r="D7" s="875"/>
      <c r="E7" s="215">
        <f>'Rehun käyttö, nettosato'!E7</f>
        <v>0</v>
      </c>
      <c r="F7" s="727">
        <f>'Rehun käyttö, nettosato'!F7</f>
        <v>0</v>
      </c>
      <c r="G7" s="36">
        <f t="shared" si="0"/>
        <v>0</v>
      </c>
      <c r="H7" s="53">
        <f>IF(E7=0,0,Energiantarve!O23)</f>
        <v>0</v>
      </c>
      <c r="I7" s="53">
        <f>Energiantarve!P23</f>
        <v>0</v>
      </c>
      <c r="K7" s="301" t="s">
        <v>492</v>
      </c>
      <c r="L7" s="35"/>
      <c r="M7" s="304"/>
      <c r="N7" s="302"/>
      <c r="O7" s="269">
        <f>IF(P$3="Tarkista",0,L7/P$3)</f>
        <v>0</v>
      </c>
      <c r="P7" s="184" t="s">
        <v>489</v>
      </c>
      <c r="Q7" s="220">
        <f>O7</f>
        <v>0</v>
      </c>
      <c r="S7" s="682" t="s">
        <v>664</v>
      </c>
      <c r="T7" s="672"/>
      <c r="U7" s="683"/>
      <c r="V7" s="39"/>
      <c r="W7" s="39"/>
      <c r="X7" s="39"/>
      <c r="Y7" s="39"/>
      <c r="Z7" s="39"/>
      <c r="AA7" s="39"/>
    </row>
    <row r="8" spans="1:59" ht="15.75" customHeight="1" thickBot="1" x14ac:dyDescent="0.4">
      <c r="B8" s="9">
        <v>4</v>
      </c>
      <c r="C8" s="874" t="s">
        <v>771</v>
      </c>
      <c r="D8" s="875"/>
      <c r="E8" s="215">
        <f>'Rehun käyttö, nettosato'!E8</f>
        <v>0</v>
      </c>
      <c r="F8" s="36">
        <f>'Rehun käyttö, nettosato'!F8</f>
        <v>1</v>
      </c>
      <c r="G8" s="36">
        <f t="shared" si="0"/>
        <v>0</v>
      </c>
      <c r="H8" s="53">
        <f>IF(E8=0,0,Energiantarve!O29/(Energiantarve!I26/365))</f>
        <v>0</v>
      </c>
      <c r="I8" s="53">
        <f>Energiantarve!P29</f>
        <v>0</v>
      </c>
      <c r="K8" s="301" t="s">
        <v>524</v>
      </c>
      <c r="L8" s="36">
        <f>Lähtötiedot!P10</f>
        <v>0</v>
      </c>
      <c r="M8" s="305"/>
      <c r="N8" s="303"/>
      <c r="O8" s="269">
        <f>IF(P$3="Tarkista",0,L8/P$3)</f>
        <v>0</v>
      </c>
      <c r="P8" s="184" t="s">
        <v>465</v>
      </c>
      <c r="Q8" s="220">
        <f>O8</f>
        <v>0</v>
      </c>
      <c r="S8" s="682"/>
      <c r="T8" s="673">
        <f>V44/100</f>
        <v>5.3411125104475721</v>
      </c>
      <c r="U8" s="684" t="s">
        <v>674</v>
      </c>
      <c r="V8" s="39"/>
      <c r="W8" s="39"/>
      <c r="X8" s="39"/>
      <c r="Y8" s="39"/>
      <c r="Z8" s="39"/>
      <c r="AA8" s="39"/>
    </row>
    <row r="9" spans="1:59" ht="15" thickBot="1" x14ac:dyDescent="0.4">
      <c r="B9" s="9">
        <v>5</v>
      </c>
      <c r="C9" s="874" t="s">
        <v>4</v>
      </c>
      <c r="D9" s="875"/>
      <c r="E9" s="215">
        <f>'Rehun käyttö, nettosato'!E9</f>
        <v>8</v>
      </c>
      <c r="F9" s="36">
        <f>'Rehun käyttö, nettosato'!F9</f>
        <v>244</v>
      </c>
      <c r="G9" s="36">
        <f t="shared" si="0"/>
        <v>1952</v>
      </c>
      <c r="H9" s="53">
        <f>IF(E9=0,0,Energiantarve!O35/(Energiantarve!K32/365))</f>
        <v>34461.840000000004</v>
      </c>
      <c r="I9" s="53">
        <f>Energiantarve!P35</f>
        <v>498516.48000000004</v>
      </c>
      <c r="K9" s="77" t="s">
        <v>81</v>
      </c>
      <c r="L9" s="39"/>
      <c r="M9" s="37"/>
      <c r="N9" s="39"/>
      <c r="O9" s="271">
        <f>SUM(O5:O8)</f>
        <v>1634</v>
      </c>
      <c r="P9" s="257"/>
      <c r="Q9" s="257"/>
      <c r="S9" s="685" t="s">
        <v>682</v>
      </c>
      <c r="T9" s="674"/>
      <c r="U9" s="686"/>
      <c r="V9" s="39"/>
      <c r="W9" s="39"/>
      <c r="X9" s="39"/>
      <c r="Y9" s="39"/>
      <c r="Z9" s="39"/>
      <c r="AA9" s="39"/>
      <c r="AK9" s="56"/>
      <c r="AL9" s="39"/>
      <c r="AN9" s="39"/>
    </row>
    <row r="10" spans="1:59" ht="15" thickBot="1" x14ac:dyDescent="0.4">
      <c r="B10" s="9">
        <v>6</v>
      </c>
      <c r="C10" s="874" t="s">
        <v>5</v>
      </c>
      <c r="D10" s="875"/>
      <c r="E10" s="215">
        <f>'Rehun käyttö, nettosato'!E10</f>
        <v>6</v>
      </c>
      <c r="F10" s="36">
        <f>'Rehun käyttö, nettosato'!F10</f>
        <v>184</v>
      </c>
      <c r="G10" s="36">
        <f t="shared" si="0"/>
        <v>1104</v>
      </c>
      <c r="H10" s="53">
        <f>IF(E10=0,0,Energiantarve!O41/(Energiantarve!K38/365))</f>
        <v>21343.958999999995</v>
      </c>
      <c r="I10" s="728">
        <f>Energiantarve!P41</f>
        <v>263144.69999999995</v>
      </c>
      <c r="K10" s="77"/>
      <c r="L10" s="39"/>
      <c r="M10" s="39"/>
      <c r="N10" s="39"/>
      <c r="O10" s="390"/>
      <c r="P10" s="257"/>
      <c r="Q10" s="257"/>
      <c r="S10" s="687"/>
      <c r="T10" s="688">
        <f>IF(M5+M6=0,0,L8/(M5+M6))</f>
        <v>0</v>
      </c>
      <c r="U10" s="689" t="s">
        <v>674</v>
      </c>
      <c r="V10" s="39"/>
      <c r="W10" s="39"/>
      <c r="X10" s="39"/>
      <c r="Y10" s="39"/>
      <c r="Z10" s="39"/>
      <c r="AA10" s="39"/>
      <c r="AK10" s="56"/>
      <c r="AL10" s="39"/>
      <c r="AN10" s="39"/>
    </row>
    <row r="11" spans="1:59" ht="19.5" thickTop="1" thickBot="1" x14ac:dyDescent="0.5">
      <c r="B11" s="9">
        <v>7</v>
      </c>
      <c r="C11" s="874" t="s">
        <v>403</v>
      </c>
      <c r="D11" s="875"/>
      <c r="E11" s="215">
        <f>'Rehun käyttö, nettosato'!E11</f>
        <v>0</v>
      </c>
      <c r="F11" s="39"/>
      <c r="G11" s="39"/>
      <c r="H11" s="53">
        <f>IF(E11=0,0,Energiantarve!O47)</f>
        <v>0</v>
      </c>
      <c r="I11" s="728">
        <f>Energiantarve!P47</f>
        <v>0</v>
      </c>
      <c r="K11" s="575" t="s">
        <v>34</v>
      </c>
      <c r="L11" s="576"/>
      <c r="M11" s="576"/>
      <c r="N11" s="576"/>
      <c r="O11" s="577"/>
      <c r="P11" s="578"/>
      <c r="Q11" s="579"/>
      <c r="S11" s="569" t="s">
        <v>520</v>
      </c>
      <c r="T11" s="582"/>
      <c r="U11" s="582"/>
      <c r="V11" s="583"/>
      <c r="W11" s="582"/>
      <c r="X11" s="582"/>
      <c r="Y11" s="584"/>
      <c r="Z11" s="569"/>
      <c r="AA11" s="582"/>
      <c r="AK11" s="569" t="s">
        <v>685</v>
      </c>
      <c r="AL11" s="569"/>
      <c r="AN11" s="569" t="s">
        <v>244</v>
      </c>
    </row>
    <row r="12" spans="1:59" ht="16" thickBot="1" x14ac:dyDescent="0.4">
      <c r="B12" s="39"/>
      <c r="C12" s="39"/>
      <c r="D12" s="39"/>
      <c r="E12" s="39"/>
      <c r="F12" s="39"/>
      <c r="G12" s="39"/>
      <c r="H12" s="39"/>
      <c r="I12" s="729">
        <f>SUM(I5:I11)</f>
        <v>2106608.0326498584</v>
      </c>
      <c r="K12" s="51" t="s">
        <v>35</v>
      </c>
      <c r="L12" s="19"/>
      <c r="M12" s="21"/>
      <c r="N12" s="19"/>
      <c r="O12" s="273"/>
      <c r="P12" s="295"/>
      <c r="Q12" s="19"/>
      <c r="S12" s="39"/>
      <c r="T12" s="39"/>
      <c r="U12" s="39"/>
      <c r="V12" s="39" t="s">
        <v>40</v>
      </c>
      <c r="W12" s="39"/>
      <c r="X12" s="57" t="s">
        <v>41</v>
      </c>
      <c r="Y12" s="57"/>
      <c r="Z12" s="58" t="s">
        <v>42</v>
      </c>
      <c r="AA12" s="58"/>
      <c r="AL12" s="97"/>
      <c r="AN12" s="245"/>
    </row>
    <row r="13" spans="1:59" ht="22" x14ac:dyDescent="0.35">
      <c r="B13" s="39"/>
      <c r="C13" s="39"/>
      <c r="D13" s="39"/>
      <c r="E13" s="39"/>
      <c r="F13" s="39"/>
      <c r="G13" s="39"/>
      <c r="H13" s="39"/>
      <c r="I13" s="730"/>
      <c r="K13" s="44" t="s">
        <v>36</v>
      </c>
      <c r="L13" s="316" t="s">
        <v>37</v>
      </c>
      <c r="M13" s="122" t="s">
        <v>25</v>
      </c>
      <c r="N13" s="316" t="s">
        <v>38</v>
      </c>
      <c r="O13" s="402" t="s">
        <v>82</v>
      </c>
      <c r="P13" s="296" t="s">
        <v>505</v>
      </c>
      <c r="Q13" s="19"/>
      <c r="S13" s="39"/>
      <c r="T13" s="39"/>
      <c r="U13" s="39"/>
      <c r="V13" s="663" t="s">
        <v>505</v>
      </c>
      <c r="W13" s="50" t="s">
        <v>43</v>
      </c>
      <c r="X13" s="59" t="s">
        <v>505</v>
      </c>
      <c r="Y13" s="59" t="s">
        <v>43</v>
      </c>
      <c r="Z13" s="60" t="s">
        <v>505</v>
      </c>
      <c r="AA13" s="60" t="s">
        <v>43</v>
      </c>
      <c r="AF13" s="566">
        <v>0.2</v>
      </c>
      <c r="AG13" s="567">
        <f>1+AF13</f>
        <v>1.2</v>
      </c>
      <c r="AH13" s="567">
        <f>1-AF13</f>
        <v>0.8</v>
      </c>
      <c r="AI13" s="567">
        <v>0.3</v>
      </c>
      <c r="AK13" s="46" t="str">
        <f>V13</f>
        <v>snt/liha-kg</v>
      </c>
      <c r="AN13" s="245"/>
    </row>
    <row r="14" spans="1:59" ht="20" customHeight="1" x14ac:dyDescent="0.45">
      <c r="B14" s="726" t="s">
        <v>460</v>
      </c>
      <c r="C14" s="574"/>
      <c r="D14" s="574"/>
      <c r="E14" s="574"/>
      <c r="F14" s="574"/>
      <c r="G14" s="574"/>
      <c r="H14" s="574"/>
      <c r="I14" s="574"/>
      <c r="K14" s="14" t="s">
        <v>476</v>
      </c>
      <c r="L14" s="36">
        <f>G17</f>
        <v>164000</v>
      </c>
      <c r="M14" s="293">
        <f>'Rehujen tuotantokustannukset'!J5</f>
        <v>0.12014544186297008</v>
      </c>
      <c r="N14" s="23">
        <f>Lähtötiedot!Q21</f>
        <v>0.23664415604308056</v>
      </c>
      <c r="O14" s="269">
        <f>IF(P$3="Tarkista",0,L14*M14*N14/P$3)</f>
        <v>582.85019218775381</v>
      </c>
      <c r="P14" s="387">
        <f>'Säilörehun tuotantokustannus'!$N$5</f>
        <v>0.12</v>
      </c>
      <c r="Q14" s="387">
        <f>IF(P$3="Tarkista",0,ROUNDUP((L14*P14*N14/P$3)*(1-Q43)/100,3))</f>
        <v>5.4730000000000008</v>
      </c>
      <c r="S14" s="61" t="s">
        <v>35</v>
      </c>
      <c r="T14" s="39"/>
      <c r="U14" s="39"/>
      <c r="V14" s="527">
        <f>SUM(V15:V28)</f>
        <v>488.78390177815481</v>
      </c>
      <c r="W14" s="63">
        <f>IF(V$42=0,0,V14/V$42)</f>
        <v>0.6489524948244022</v>
      </c>
      <c r="X14" s="530">
        <f>SUM(X15:X28)</f>
        <v>186.69792046337557</v>
      </c>
      <c r="Y14" s="65">
        <f>IF(X$42=0,0,X14/X$42)</f>
        <v>0.66863447258495678</v>
      </c>
      <c r="Z14" s="531">
        <f>SUM(Z15:Z28)</f>
        <v>171.71899415834076</v>
      </c>
      <c r="AA14" s="67">
        <f>IF(Z$42=0,0,Z14/Z$42)</f>
        <v>0.42488214000650926</v>
      </c>
      <c r="AC14" s="561">
        <f>V14</f>
        <v>488.78390177815481</v>
      </c>
      <c r="AD14" s="561">
        <f>X14</f>
        <v>186.69792046337557</v>
      </c>
      <c r="AE14" s="561">
        <f>AC14-AD14</f>
        <v>302.08598131477925</v>
      </c>
      <c r="AF14" s="562">
        <f>AD14/AC14</f>
        <v>0.38196413544755503</v>
      </c>
      <c r="AG14" s="564" t="str">
        <f>IF(AF14&lt;AG$13,"_","ovat pienemmät kuin vertailulaskelmassa")</f>
        <v>_</v>
      </c>
      <c r="AH14" s="564" t="str">
        <f>IF(AF14&gt;AH$13,"_","ovat suuremmat kuin vertailulaskelmassa")</f>
        <v>ovat suuremmat kuin vertailulaskelmassa</v>
      </c>
      <c r="AI14" s="564">
        <f>IF(V14&lt;AI$13,1,0)</f>
        <v>0</v>
      </c>
      <c r="AK14" s="45" t="str">
        <f>S14</f>
        <v>Muuttuvat kustannukset</v>
      </c>
      <c r="AL14" s="44" t="str">
        <f>IF(AI14=0,IF(AF14&lt;1,AH14,AG14),"_")</f>
        <v>ovat suuremmat kuin vertailulaskelmassa</v>
      </c>
      <c r="AN14" s="245"/>
    </row>
    <row r="15" spans="1:59" ht="15" customHeight="1" thickBot="1" x14ac:dyDescent="0.4">
      <c r="B15" s="39"/>
      <c r="C15" s="39"/>
      <c r="D15" s="39"/>
      <c r="E15" s="50" t="s">
        <v>6</v>
      </c>
      <c r="F15" s="731" t="s">
        <v>237</v>
      </c>
      <c r="G15" s="732" t="s">
        <v>1</v>
      </c>
      <c r="H15" s="732" t="s">
        <v>407</v>
      </c>
      <c r="I15" s="732" t="s">
        <v>7</v>
      </c>
      <c r="K15" s="14" t="s">
        <v>477</v>
      </c>
      <c r="L15" s="36">
        <f>G18</f>
        <v>0</v>
      </c>
      <c r="M15" s="293">
        <f>'Rehujen tuotantokustannukset'!J6</f>
        <v>0</v>
      </c>
      <c r="N15" s="23">
        <f>N$14</f>
        <v>0.23664415604308056</v>
      </c>
      <c r="O15" s="269">
        <f>IF(P$3="Tarkista",0,L15*M15*N15/P$3)</f>
        <v>0</v>
      </c>
      <c r="P15" s="297"/>
      <c r="Q15" s="19"/>
      <c r="S15" s="39"/>
      <c r="T15" s="68" t="str">
        <f>K14</f>
        <v xml:space="preserve">   Säilörehu</v>
      </c>
      <c r="U15" s="39"/>
      <c r="V15" s="382">
        <f>IF(P$3="Tarkista",0,O14*(1-Q$43)/(M$5/P$3)*100)</f>
        <v>224.55078155217132</v>
      </c>
      <c r="W15" s="536">
        <f>IF(V$42=0,0,V15/V$42)</f>
        <v>0.29813336603951901</v>
      </c>
      <c r="X15" s="388">
        <f>Tuotantokustannusvertailu!N192</f>
        <v>148.2921171918187</v>
      </c>
      <c r="Y15" s="538">
        <f>IF(X$42=0,0,X15/X$42)</f>
        <v>0.53108905188105271</v>
      </c>
      <c r="Z15" s="389">
        <f>Tuotantokustannusvertailu!AC192</f>
        <v>132.74074074074076</v>
      </c>
      <c r="AA15" s="540">
        <f>IF(Z$42=0,0,Z15/Z$42)</f>
        <v>0.32843873951398717</v>
      </c>
      <c r="AC15" s="561">
        <f t="shared" ref="AC15:AC42" si="1">V15</f>
        <v>224.55078155217132</v>
      </c>
      <c r="AD15" s="561">
        <f t="shared" ref="AD15:AD42" si="2">X15</f>
        <v>148.2921171918187</v>
      </c>
      <c r="AE15" s="561">
        <f t="shared" ref="AE15:AE42" si="3">AC15-AD15</f>
        <v>76.258664360352611</v>
      </c>
      <c r="AF15" s="562">
        <f>AD15/AC15</f>
        <v>0.66039457162773241</v>
      </c>
      <c r="AG15" s="564" t="str">
        <f>IF(AF15&lt;AG$13,"_","on pienempi kuin vertailulaskelmissa")</f>
        <v>_</v>
      </c>
      <c r="AH15" s="564" t="str">
        <f>IF(AF15&gt;AH$13,"_","on suurempi kuin vertailulaskelmissa")</f>
        <v>on suurempi kuin vertailulaskelmissa</v>
      </c>
      <c r="AI15" s="564">
        <f t="shared" ref="AI15:AI42" si="4">IF(V15&lt;AI$13,1,0)</f>
        <v>0</v>
      </c>
      <c r="AK15" s="45" t="str">
        <f>T15</f>
        <v xml:space="preserve">   Säilörehu</v>
      </c>
      <c r="AL15" s="44" t="str">
        <f t="shared" ref="AL15:AL42" si="5">IF(AI15=0,IF(AF15&lt;1,AH15,AG15),"_")</f>
        <v>on suurempi kuin vertailulaskelmissa</v>
      </c>
      <c r="AN15" s="245"/>
    </row>
    <row r="16" spans="1:59" ht="15" customHeight="1" thickTop="1" x14ac:dyDescent="0.35">
      <c r="B16" s="77" t="s">
        <v>356</v>
      </c>
      <c r="C16" s="39"/>
      <c r="D16" s="39"/>
      <c r="E16" s="733">
        <f>SUM(E17:E21)</f>
        <v>29</v>
      </c>
      <c r="F16" s="734" t="s">
        <v>352</v>
      </c>
      <c r="G16" s="734" t="s">
        <v>44</v>
      </c>
      <c r="H16" s="734" t="s">
        <v>353</v>
      </c>
      <c r="I16" s="734" t="s">
        <v>8</v>
      </c>
      <c r="K16" s="14" t="s">
        <v>478</v>
      </c>
      <c r="L16" s="36">
        <f>G19</f>
        <v>0</v>
      </c>
      <c r="M16" s="293">
        <f>'Rehujen tuotantokustannukset'!J7</f>
        <v>0</v>
      </c>
      <c r="N16" s="23">
        <f>N$14</f>
        <v>0.23664415604308056</v>
      </c>
      <c r="O16" s="269">
        <f>IF(P$3="Tarkista",0,L16*M16*N16/P$3)</f>
        <v>0</v>
      </c>
      <c r="P16" s="297"/>
      <c r="Q16" s="19"/>
      <c r="S16" s="39"/>
      <c r="T16" s="68" t="str">
        <f>K15</f>
        <v xml:space="preserve">   Rehuvilja</v>
      </c>
      <c r="U16" s="39"/>
      <c r="V16" s="382">
        <f>IF(P$3="Tarkista",0,O15*(1-Q$43)/(M$5/P$3)*100)</f>
        <v>0</v>
      </c>
      <c r="W16" s="536">
        <f t="shared" ref="W16:W28" si="6">IF(V$42=0,0,V16/V$42)</f>
        <v>0</v>
      </c>
      <c r="X16" s="388">
        <f>Tuotantokustannusvertailu!N193</f>
        <v>10.683054063018243</v>
      </c>
      <c r="Y16" s="538">
        <f t="shared" ref="Y16:Y28" si="7">IF(X$42=0,0,X16/X$42)</f>
        <v>3.8259977407857811E-2</v>
      </c>
      <c r="Z16" s="389">
        <f>Tuotantokustannusvertailu!AC193</f>
        <v>10.844918518518519</v>
      </c>
      <c r="AA16" s="540">
        <f t="shared" ref="AA16:AA28" si="8">IF(Z$42=0,0,Z16/Z$42)</f>
        <v>2.6833445018292747E-2</v>
      </c>
      <c r="AC16" s="561">
        <f t="shared" si="1"/>
        <v>0</v>
      </c>
      <c r="AD16" s="561">
        <f t="shared" si="2"/>
        <v>10.683054063018243</v>
      </c>
      <c r="AE16" s="561">
        <f t="shared" si="3"/>
        <v>-10.683054063018243</v>
      </c>
      <c r="AF16" s="562" t="e">
        <f>AD16/AC16</f>
        <v>#DIV/0!</v>
      </c>
      <c r="AG16" s="564" t="e">
        <f t="shared" ref="AG16:AG24" si="9">IF(AF16&lt;AG$13,"_","on pienempi kuin vertailulaskelmissa")</f>
        <v>#DIV/0!</v>
      </c>
      <c r="AH16" s="564" t="e">
        <f t="shared" ref="AH16:AH24" si="10">IF(AF16&gt;AH$13,"_","on suurempi kuin vertailulaskelmissa")</f>
        <v>#DIV/0!</v>
      </c>
      <c r="AI16" s="564">
        <f t="shared" si="4"/>
        <v>1</v>
      </c>
      <c r="AK16" s="45" t="str">
        <f t="shared" ref="AK16:AK28" si="11">T16</f>
        <v xml:space="preserve">   Rehuvilja</v>
      </c>
      <c r="AL16" s="44" t="str">
        <f t="shared" si="5"/>
        <v>_</v>
      </c>
      <c r="AN16" s="245"/>
    </row>
    <row r="17" spans="2:40" x14ac:dyDescent="0.35">
      <c r="B17" s="243" t="s">
        <v>421</v>
      </c>
      <c r="C17" s="735" t="s">
        <v>9</v>
      </c>
      <c r="D17" s="736"/>
      <c r="E17" s="737">
        <f>'Rehun käyttö, nettosato'!E17</f>
        <v>20</v>
      </c>
      <c r="F17" s="738">
        <f>'Rehun käyttö, nettosato'!M15</f>
        <v>8200</v>
      </c>
      <c r="G17" s="739">
        <f>E17*F17</f>
        <v>164000</v>
      </c>
      <c r="H17" s="739">
        <f>F17*Rehuntuotanto!J7</f>
        <v>91282.061855670094</v>
      </c>
      <c r="I17" s="740">
        <f>H17*E17</f>
        <v>1825641.2371134018</v>
      </c>
      <c r="K17" s="14" t="s">
        <v>479</v>
      </c>
      <c r="L17" s="36">
        <f>G20</f>
        <v>10000</v>
      </c>
      <c r="M17" s="293">
        <f>'Rehujen tuotantokustannukset'!J8</f>
        <v>0.49259631163817735</v>
      </c>
      <c r="N17" s="23">
        <f>N$14</f>
        <v>0.23664415604308056</v>
      </c>
      <c r="O17" s="269">
        <f>IF(P$3="Tarkista",0,L17*M17*N17/P$3)</f>
        <v>145.71254804693848</v>
      </c>
      <c r="P17" s="297"/>
      <c r="Q17" s="19"/>
      <c r="S17" s="39"/>
      <c r="T17" s="68" t="str">
        <f>K16</f>
        <v xml:space="preserve">   Kokoviljasäilörehu</v>
      </c>
      <c r="U17" s="39"/>
      <c r="V17" s="382">
        <f>IF(P$3="Tarkista",0,O16*(1-Q$43)/(M$5/P$3)*100)</f>
        <v>0</v>
      </c>
      <c r="W17" s="536">
        <f t="shared" si="6"/>
        <v>0</v>
      </c>
      <c r="X17" s="388">
        <f>Tuotantokustannusvertailu!N194</f>
        <v>0</v>
      </c>
      <c r="Y17" s="538">
        <f t="shared" si="7"/>
        <v>0</v>
      </c>
      <c r="Z17" s="389">
        <f>Tuotantokustannusvertailu!AC194</f>
        <v>0</v>
      </c>
      <c r="AA17" s="540">
        <f t="shared" si="8"/>
        <v>0</v>
      </c>
      <c r="AC17" s="561"/>
      <c r="AD17" s="561"/>
      <c r="AE17" s="561"/>
      <c r="AF17" s="562"/>
      <c r="AG17" s="564" t="str">
        <f t="shared" si="9"/>
        <v>_</v>
      </c>
      <c r="AH17" s="564" t="str">
        <f t="shared" si="10"/>
        <v>on suurempi kuin vertailulaskelmissa</v>
      </c>
      <c r="AI17" s="564">
        <f t="shared" si="4"/>
        <v>1</v>
      </c>
      <c r="AK17" s="45" t="str">
        <f t="shared" si="11"/>
        <v xml:space="preserve">   Kokoviljasäilörehu</v>
      </c>
      <c r="AL17" s="44" t="str">
        <f t="shared" si="5"/>
        <v>_</v>
      </c>
      <c r="AN17" s="245"/>
    </row>
    <row r="18" spans="2:40" x14ac:dyDescent="0.35">
      <c r="B18" s="243" t="s">
        <v>422</v>
      </c>
      <c r="C18" s="735" t="s">
        <v>10</v>
      </c>
      <c r="D18" s="736"/>
      <c r="E18" s="737">
        <f>'Rehun käyttö, nettosato'!E18</f>
        <v>0</v>
      </c>
      <c r="F18" s="16">
        <f>Rehuntuotanto!I29</f>
        <v>0</v>
      </c>
      <c r="G18" s="36">
        <f>E18*F18</f>
        <v>0</v>
      </c>
      <c r="H18" s="36">
        <f>Rehuntuotanto!K29</f>
        <v>0</v>
      </c>
      <c r="I18" s="53">
        <f>H18*E18</f>
        <v>0</v>
      </c>
      <c r="K18" s="14" t="s">
        <v>480</v>
      </c>
      <c r="L18" s="36">
        <f>G21</f>
        <v>17200</v>
      </c>
      <c r="M18" s="293">
        <f>'Rehujen tuotantokustannukset'!J9</f>
        <v>0.22911456355264062</v>
      </c>
      <c r="N18" s="23">
        <f>N$14</f>
        <v>0.23664415604308056</v>
      </c>
      <c r="O18" s="269">
        <f>IF(P$3="Tarkista",0,L18*M18*N18/P$3)</f>
        <v>116.57003843755078</v>
      </c>
      <c r="P18" s="297"/>
      <c r="Q18" s="19"/>
      <c r="S18" s="39"/>
      <c r="T18" s="68" t="str">
        <f>K17</f>
        <v xml:space="preserve">   Laidun</v>
      </c>
      <c r="U18" s="39"/>
      <c r="V18" s="382">
        <f>IF(P$3="Tarkista",0,O17*(1-Q$43)/(M$5/P$3)*100)</f>
        <v>56.137695388042843</v>
      </c>
      <c r="W18" s="536">
        <f t="shared" si="6"/>
        <v>7.4533341509879766E-2</v>
      </c>
      <c r="X18" s="388">
        <f>Tuotantokustannusvertailu!N195</f>
        <v>0</v>
      </c>
      <c r="Y18" s="538">
        <f t="shared" si="7"/>
        <v>0</v>
      </c>
      <c r="Z18" s="389">
        <f>Tuotantokustannusvertailu!AC195</f>
        <v>0</v>
      </c>
      <c r="AA18" s="540">
        <f t="shared" si="8"/>
        <v>0</v>
      </c>
      <c r="AC18" s="561"/>
      <c r="AD18" s="561"/>
      <c r="AE18" s="561"/>
      <c r="AF18" s="562"/>
      <c r="AG18" s="564" t="str">
        <f t="shared" si="9"/>
        <v>_</v>
      </c>
      <c r="AH18" s="564" t="str">
        <f t="shared" si="10"/>
        <v>on suurempi kuin vertailulaskelmissa</v>
      </c>
      <c r="AI18" s="564">
        <f t="shared" si="4"/>
        <v>0</v>
      </c>
      <c r="AK18" s="45" t="str">
        <f t="shared" si="11"/>
        <v xml:space="preserve">   Laidun</v>
      </c>
      <c r="AL18" s="44" t="str">
        <f t="shared" si="5"/>
        <v>on suurempi kuin vertailulaskelmissa</v>
      </c>
      <c r="AN18" s="245"/>
    </row>
    <row r="19" spans="2:40" ht="15" customHeight="1" x14ac:dyDescent="0.35">
      <c r="B19" s="243" t="s">
        <v>423</v>
      </c>
      <c r="C19" s="735" t="s">
        <v>48</v>
      </c>
      <c r="D19" s="736"/>
      <c r="E19" s="737">
        <f>'Rehun käyttö, nettosato'!E19</f>
        <v>0</v>
      </c>
      <c r="F19" s="16">
        <f>Rehuntuotanto!I36</f>
        <v>0</v>
      </c>
      <c r="G19" s="36">
        <f>E19*F19</f>
        <v>0</v>
      </c>
      <c r="H19" s="36">
        <f>Rehuntuotanto!K36</f>
        <v>0</v>
      </c>
      <c r="I19" s="53">
        <f>H19*E19</f>
        <v>0</v>
      </c>
      <c r="K19" s="39"/>
      <c r="L19" s="39"/>
      <c r="M19" s="663" t="s">
        <v>75</v>
      </c>
      <c r="N19" s="316" t="s">
        <v>38</v>
      </c>
      <c r="O19" s="402" t="s">
        <v>82</v>
      </c>
      <c r="P19" s="297"/>
      <c r="Q19" s="19"/>
      <c r="S19" s="39"/>
      <c r="T19" s="68" t="str">
        <f>K18</f>
        <v xml:space="preserve">   Muut korsirehut</v>
      </c>
      <c r="U19" s="39"/>
      <c r="V19" s="382">
        <f>IF(P$3="Tarkista",0,O18*(1-Q$43)/(M$5/P$3)*100)</f>
        <v>44.910156310434267</v>
      </c>
      <c r="W19" s="536">
        <f t="shared" si="6"/>
        <v>5.962667320790381E-2</v>
      </c>
      <c r="X19" s="388">
        <f>Tuotantokustannusvertailu!N196</f>
        <v>0</v>
      </c>
      <c r="Y19" s="538">
        <f t="shared" si="7"/>
        <v>0</v>
      </c>
      <c r="Z19" s="389">
        <f>Tuotantokustannusvertailu!AC196</f>
        <v>0</v>
      </c>
      <c r="AA19" s="540">
        <f t="shared" si="8"/>
        <v>0</v>
      </c>
      <c r="AC19" s="561"/>
      <c r="AD19" s="561"/>
      <c r="AE19" s="561"/>
      <c r="AF19" s="562"/>
      <c r="AG19" s="564" t="str">
        <f t="shared" si="9"/>
        <v>_</v>
      </c>
      <c r="AH19" s="564" t="str">
        <f t="shared" si="10"/>
        <v>on suurempi kuin vertailulaskelmissa</v>
      </c>
      <c r="AI19" s="564">
        <f t="shared" si="4"/>
        <v>0</v>
      </c>
      <c r="AK19" s="45" t="str">
        <f t="shared" si="11"/>
        <v xml:space="preserve">   Muut korsirehut</v>
      </c>
      <c r="AL19" s="44" t="str">
        <f t="shared" si="5"/>
        <v>on suurempi kuin vertailulaskelmissa</v>
      </c>
      <c r="AN19" s="245"/>
    </row>
    <row r="20" spans="2:40" x14ac:dyDescent="0.35">
      <c r="B20" s="243" t="s">
        <v>424</v>
      </c>
      <c r="C20" s="735" t="s">
        <v>46</v>
      </c>
      <c r="D20" s="736"/>
      <c r="E20" s="737">
        <f>'Rehun käyttö, nettosato'!E20</f>
        <v>5</v>
      </c>
      <c r="F20" s="16">
        <f>Rehuntuotanto!I43</f>
        <v>2000</v>
      </c>
      <c r="G20" s="36">
        <f>E20*F20</f>
        <v>10000</v>
      </c>
      <c r="H20" s="36">
        <f>Rehuntuotanto!K43</f>
        <v>22000</v>
      </c>
      <c r="I20" s="53">
        <f>H20*E20</f>
        <v>110000</v>
      </c>
      <c r="K20" s="666" t="s">
        <v>47</v>
      </c>
      <c r="L20" s="667"/>
      <c r="M20" s="36">
        <f>Lähtötiedot!C19</f>
        <v>2000</v>
      </c>
      <c r="N20" s="23">
        <f t="shared" ref="N20:N26" si="12">N$14</f>
        <v>0.23664415604308056</v>
      </c>
      <c r="O20" s="269">
        <f t="shared" ref="O20:O26" si="13">IF(P$3="Tarkista",0,M20*N20/P$3)</f>
        <v>59.161039010770139</v>
      </c>
      <c r="P20" s="297"/>
      <c r="Q20" s="19"/>
      <c r="S20" s="39"/>
      <c r="T20" s="68" t="str">
        <f t="shared" ref="T20:T28" si="14">K20</f>
        <v>Ostorehut</v>
      </c>
      <c r="U20" s="39"/>
      <c r="V20" s="382">
        <f>IF(P$3="Tarkista",0,O20*(1-Q$43)/(M$5/P$3)*100)</f>
        <v>22.792576420782133</v>
      </c>
      <c r="W20" s="536">
        <f t="shared" si="6"/>
        <v>3.0261428983100518E-2</v>
      </c>
      <c r="X20" s="388">
        <f>Tuotantokustannusvertailu!N197</f>
        <v>2.451741293532339</v>
      </c>
      <c r="Y20" s="538">
        <f t="shared" si="7"/>
        <v>8.7805945703468054E-3</v>
      </c>
      <c r="Z20" s="389">
        <f>Tuotantokustannusvertailu!AC197</f>
        <v>2.4888888888888894</v>
      </c>
      <c r="AA20" s="540">
        <f t="shared" si="8"/>
        <v>6.1582263658872599E-3</v>
      </c>
      <c r="AC20" s="561">
        <f t="shared" si="1"/>
        <v>22.792576420782133</v>
      </c>
      <c r="AD20" s="561">
        <f t="shared" si="2"/>
        <v>2.451741293532339</v>
      </c>
      <c r="AE20" s="561">
        <f t="shared" si="3"/>
        <v>20.340835127249793</v>
      </c>
      <c r="AF20" s="562">
        <f t="shared" ref="AF20:AF28" si="15">AD20/AC20</f>
        <v>0.10756753638859608</v>
      </c>
      <c r="AG20" s="564" t="str">
        <f t="shared" si="9"/>
        <v>_</v>
      </c>
      <c r="AH20" s="564" t="str">
        <f t="shared" si="10"/>
        <v>on suurempi kuin vertailulaskelmissa</v>
      </c>
      <c r="AI20" s="564">
        <f t="shared" si="4"/>
        <v>0</v>
      </c>
      <c r="AK20" s="45" t="str">
        <f t="shared" si="11"/>
        <v>Ostorehut</v>
      </c>
      <c r="AL20" s="44" t="str">
        <f t="shared" si="5"/>
        <v>on suurempi kuin vertailulaskelmissa</v>
      </c>
      <c r="AN20" s="245"/>
    </row>
    <row r="21" spans="2:40" ht="15" thickBot="1" x14ac:dyDescent="0.4">
      <c r="B21" s="243" t="s">
        <v>425</v>
      </c>
      <c r="C21" s="735" t="s">
        <v>348</v>
      </c>
      <c r="D21" s="736"/>
      <c r="E21" s="741">
        <f>'Rehun käyttö, nettosato'!E21</f>
        <v>4</v>
      </c>
      <c r="F21" s="16">
        <f>Rehuntuotanto!I50</f>
        <v>4300</v>
      </c>
      <c r="G21" s="36">
        <f>E21*F21</f>
        <v>17200</v>
      </c>
      <c r="H21" s="36">
        <f>Rehuntuotanto!K50</f>
        <v>45150</v>
      </c>
      <c r="I21" s="53">
        <f>H21*E21</f>
        <v>180600</v>
      </c>
      <c r="K21" s="877" t="s">
        <v>72</v>
      </c>
      <c r="L21" s="878"/>
      <c r="M21" s="36">
        <f>Lähtötiedot!C20</f>
        <v>600</v>
      </c>
      <c r="N21" s="23">
        <f t="shared" si="12"/>
        <v>0.23664415604308056</v>
      </c>
      <c r="O21" s="269">
        <f t="shared" si="13"/>
        <v>17.748311703231042</v>
      </c>
      <c r="P21" s="297"/>
      <c r="Q21" s="19"/>
      <c r="S21" s="39"/>
      <c r="T21" s="68" t="str">
        <f t="shared" si="14"/>
        <v>Kivennäiset</v>
      </c>
      <c r="U21" s="39"/>
      <c r="V21" s="382">
        <f t="shared" ref="V21:V28" si="16">IF(P$3="Tarkista",0,O21*(1-Q$43)/(M$5/P$3)*100)</f>
        <v>6.8377729262346394</v>
      </c>
      <c r="W21" s="536">
        <f t="shared" si="6"/>
        <v>9.0784286949301546E-3</v>
      </c>
      <c r="X21" s="388">
        <f>Tuotantokustannusvertailu!N198</f>
        <v>3.1668325041459373</v>
      </c>
      <c r="Y21" s="538">
        <f t="shared" si="7"/>
        <v>1.1341601320031289E-2</v>
      </c>
      <c r="Z21" s="389">
        <f>Tuotantokustannusvertailu!AC198</f>
        <v>3.2148148148148157</v>
      </c>
      <c r="AA21" s="540">
        <f t="shared" si="8"/>
        <v>7.954375722604377E-3</v>
      </c>
      <c r="AC21" s="561">
        <f t="shared" si="1"/>
        <v>6.8377729262346394</v>
      </c>
      <c r="AD21" s="561">
        <f t="shared" si="2"/>
        <v>3.1668325041459373</v>
      </c>
      <c r="AE21" s="561">
        <f t="shared" si="3"/>
        <v>3.6709404220887021</v>
      </c>
      <c r="AF21" s="562">
        <f t="shared" si="15"/>
        <v>0.46313800389534415</v>
      </c>
      <c r="AG21" s="564" t="str">
        <f t="shared" si="9"/>
        <v>_</v>
      </c>
      <c r="AH21" s="564" t="str">
        <f t="shared" si="10"/>
        <v>on suurempi kuin vertailulaskelmissa</v>
      </c>
      <c r="AI21" s="564">
        <f t="shared" si="4"/>
        <v>0</v>
      </c>
      <c r="AK21" s="45" t="str">
        <f t="shared" si="11"/>
        <v>Kivennäiset</v>
      </c>
      <c r="AL21" s="44" t="str">
        <f t="shared" si="5"/>
        <v>on suurempi kuin vertailulaskelmissa</v>
      </c>
      <c r="AN21" s="245"/>
    </row>
    <row r="22" spans="2:40" ht="15.5" thickTop="1" thickBot="1" x14ac:dyDescent="0.4">
      <c r="B22" s="39" t="s">
        <v>14</v>
      </c>
      <c r="C22" s="39"/>
      <c r="D22" s="39"/>
      <c r="E22" s="742">
        <f>'Rehun käyttö, nettosato'!E22</f>
        <v>0</v>
      </c>
      <c r="F22" s="39"/>
      <c r="G22" s="743"/>
      <c r="H22" s="39"/>
      <c r="I22" s="39"/>
      <c r="K22" s="877" t="s">
        <v>481</v>
      </c>
      <c r="L22" s="878"/>
      <c r="M22" s="36">
        <f>Lähtötiedot!C21</f>
        <v>1500</v>
      </c>
      <c r="N22" s="23">
        <f t="shared" si="12"/>
        <v>0.23664415604308056</v>
      </c>
      <c r="O22" s="269">
        <f t="shared" si="13"/>
        <v>44.370779258077604</v>
      </c>
      <c r="P22" s="297"/>
      <c r="Q22" s="19"/>
      <c r="S22" s="39"/>
      <c r="T22" s="68" t="str">
        <f t="shared" si="14"/>
        <v>Lääkintä</v>
      </c>
      <c r="U22" s="39"/>
      <c r="V22" s="382">
        <f t="shared" si="16"/>
        <v>17.094432315586598</v>
      </c>
      <c r="W22" s="536">
        <f t="shared" si="6"/>
        <v>2.2696071737325386E-2</v>
      </c>
      <c r="X22" s="388">
        <f>Tuotantokustannusvertailu!N199</f>
        <v>8.1724709784411278</v>
      </c>
      <c r="Y22" s="538">
        <f t="shared" si="7"/>
        <v>2.9268648567822679E-2</v>
      </c>
      <c r="Z22" s="389">
        <f>Tuotantokustannusvertailu!AC199</f>
        <v>8.2962962962962976</v>
      </c>
      <c r="AA22" s="540">
        <f t="shared" si="8"/>
        <v>2.0527421219624198E-2</v>
      </c>
      <c r="AC22" s="561">
        <f t="shared" si="1"/>
        <v>17.094432315586598</v>
      </c>
      <c r="AD22" s="561">
        <f t="shared" si="2"/>
        <v>8.1724709784411278</v>
      </c>
      <c r="AE22" s="561">
        <f t="shared" si="3"/>
        <v>8.9219613371454702</v>
      </c>
      <c r="AF22" s="562">
        <f t="shared" si="15"/>
        <v>0.47807793950487137</v>
      </c>
      <c r="AG22" s="564" t="str">
        <f t="shared" si="9"/>
        <v>_</v>
      </c>
      <c r="AH22" s="564" t="str">
        <f t="shared" si="10"/>
        <v>on suurempi kuin vertailulaskelmissa</v>
      </c>
      <c r="AI22" s="564">
        <f t="shared" si="4"/>
        <v>0</v>
      </c>
      <c r="AK22" s="45" t="str">
        <f t="shared" si="11"/>
        <v>Lääkintä</v>
      </c>
      <c r="AL22" s="44" t="str">
        <f t="shared" si="5"/>
        <v>on suurempi kuin vertailulaskelmissa</v>
      </c>
      <c r="AN22" s="245"/>
    </row>
    <row r="23" spans="2:40" ht="15" thickBot="1" x14ac:dyDescent="0.4">
      <c r="B23" s="39" t="s">
        <v>16</v>
      </c>
      <c r="C23" s="39"/>
      <c r="D23" s="39"/>
      <c r="E23" s="428">
        <f>E22+E16</f>
        <v>29</v>
      </c>
      <c r="F23" s="39"/>
      <c r="G23" s="39"/>
      <c r="H23" s="39"/>
      <c r="I23" s="39"/>
      <c r="K23" s="877" t="s">
        <v>482</v>
      </c>
      <c r="L23" s="878"/>
      <c r="M23" s="36">
        <f>Lähtötiedot!C22</f>
        <v>2500</v>
      </c>
      <c r="N23" s="23">
        <f t="shared" si="12"/>
        <v>0.23664415604308056</v>
      </c>
      <c r="O23" s="269">
        <f t="shared" si="13"/>
        <v>73.951298763462674</v>
      </c>
      <c r="P23" s="297"/>
      <c r="Q23" s="19"/>
      <c r="S23" s="39"/>
      <c r="T23" s="68" t="str">
        <f t="shared" si="14"/>
        <v>Siemennys, jalostus ym.</v>
      </c>
      <c r="U23" s="39"/>
      <c r="V23" s="382">
        <f t="shared" si="16"/>
        <v>28.490720525977665</v>
      </c>
      <c r="W23" s="536">
        <f t="shared" si="6"/>
        <v>3.7826786228875642E-2</v>
      </c>
      <c r="X23" s="388">
        <f>Tuotantokustannusvertailu!N200</f>
        <v>3.4733001658374798</v>
      </c>
      <c r="Y23" s="538">
        <f t="shared" si="7"/>
        <v>1.2439175641324639E-2</v>
      </c>
      <c r="Z23" s="389">
        <f>Tuotantokustannusvertailu!AC200</f>
        <v>3.5259259259259261</v>
      </c>
      <c r="AA23" s="540">
        <f t="shared" si="8"/>
        <v>8.7241540183402837E-3</v>
      </c>
      <c r="AC23" s="561">
        <f t="shared" si="1"/>
        <v>28.490720525977665</v>
      </c>
      <c r="AD23" s="561">
        <f t="shared" si="2"/>
        <v>3.4733001658374798</v>
      </c>
      <c r="AE23" s="561">
        <f t="shared" si="3"/>
        <v>25.017420360140186</v>
      </c>
      <c r="AF23" s="562">
        <f t="shared" si="15"/>
        <v>0.12190987457374221</v>
      </c>
      <c r="AG23" s="564" t="str">
        <f t="shared" si="9"/>
        <v>_</v>
      </c>
      <c r="AH23" s="564" t="str">
        <f t="shared" si="10"/>
        <v>on suurempi kuin vertailulaskelmissa</v>
      </c>
      <c r="AI23" s="564">
        <f t="shared" si="4"/>
        <v>0</v>
      </c>
      <c r="AK23" s="45" t="str">
        <f t="shared" si="11"/>
        <v>Siemennys, jalostus ym.</v>
      </c>
      <c r="AL23" s="44" t="str">
        <f t="shared" si="5"/>
        <v>on suurempi kuin vertailulaskelmissa</v>
      </c>
      <c r="AN23" s="245"/>
    </row>
    <row r="24" spans="2:40" x14ac:dyDescent="0.35">
      <c r="B24" s="39"/>
      <c r="C24" s="39"/>
      <c r="D24" s="39"/>
      <c r="E24" s="39"/>
      <c r="F24" s="39"/>
      <c r="G24" s="39"/>
      <c r="H24" s="39"/>
      <c r="I24" s="39"/>
      <c r="K24" s="877" t="s">
        <v>49</v>
      </c>
      <c r="L24" s="878"/>
      <c r="M24" s="36">
        <f>Lähtötiedot!C23</f>
        <v>1500</v>
      </c>
      <c r="N24" s="23">
        <f t="shared" si="12"/>
        <v>0.23664415604308056</v>
      </c>
      <c r="O24" s="269">
        <f t="shared" si="13"/>
        <v>44.370779258077604</v>
      </c>
      <c r="P24" s="297"/>
      <c r="Q24" s="19"/>
      <c r="S24" s="39"/>
      <c r="T24" s="68" t="str">
        <f t="shared" si="14"/>
        <v>Kuivikkeet</v>
      </c>
      <c r="U24" s="39"/>
      <c r="V24" s="382">
        <f t="shared" si="16"/>
        <v>17.094432315586598</v>
      </c>
      <c r="W24" s="536">
        <f t="shared" si="6"/>
        <v>2.2696071737325386E-2</v>
      </c>
      <c r="X24" s="388">
        <f>Tuotantokustannusvertailu!N201</f>
        <v>4.0862354892205639</v>
      </c>
      <c r="Y24" s="538">
        <f t="shared" si="7"/>
        <v>1.463432428391134E-2</v>
      </c>
      <c r="Z24" s="389">
        <f>Tuotantokustannusvertailu!AC201</f>
        <v>4.1481481481481488</v>
      </c>
      <c r="AA24" s="540">
        <f t="shared" si="8"/>
        <v>1.0263710609812099E-2</v>
      </c>
      <c r="AC24" s="561">
        <f t="shared" si="1"/>
        <v>17.094432315586598</v>
      </c>
      <c r="AD24" s="561">
        <f t="shared" si="2"/>
        <v>4.0862354892205639</v>
      </c>
      <c r="AE24" s="561">
        <f t="shared" si="3"/>
        <v>13.008196826366035</v>
      </c>
      <c r="AF24" s="562">
        <f t="shared" si="15"/>
        <v>0.23903896975243569</v>
      </c>
      <c r="AG24" s="564" t="str">
        <f t="shared" si="9"/>
        <v>_</v>
      </c>
      <c r="AH24" s="564" t="str">
        <f t="shared" si="10"/>
        <v>on suurempi kuin vertailulaskelmissa</v>
      </c>
      <c r="AI24" s="564">
        <f t="shared" si="4"/>
        <v>0</v>
      </c>
      <c r="AK24" s="45" t="str">
        <f t="shared" si="11"/>
        <v>Kuivikkeet</v>
      </c>
      <c r="AL24" s="44" t="str">
        <f t="shared" si="5"/>
        <v>on suurempi kuin vertailulaskelmissa</v>
      </c>
      <c r="AN24" s="245"/>
    </row>
    <row r="25" spans="2:40" x14ac:dyDescent="0.35">
      <c r="B25" s="39"/>
      <c r="C25" s="39"/>
      <c r="D25" s="39"/>
      <c r="E25" s="39"/>
      <c r="F25" s="39"/>
      <c r="G25" s="39"/>
      <c r="H25" s="39"/>
      <c r="I25" s="39"/>
      <c r="K25" s="879" t="s">
        <v>50</v>
      </c>
      <c r="L25" s="875"/>
      <c r="M25" s="36">
        <f>Lähtötiedot!C24</f>
        <v>3500</v>
      </c>
      <c r="N25" s="23">
        <f t="shared" si="12"/>
        <v>0.23664415604308056</v>
      </c>
      <c r="O25" s="269">
        <f t="shared" si="13"/>
        <v>103.53181826884774</v>
      </c>
      <c r="P25" s="297"/>
      <c r="Q25" s="19"/>
      <c r="S25" s="39"/>
      <c r="T25" s="282" t="str">
        <f t="shared" si="14"/>
        <v>Muut muuttuvat kustannukset</v>
      </c>
      <c r="U25" s="39"/>
      <c r="V25" s="382">
        <f t="shared" si="16"/>
        <v>39.887008736368728</v>
      </c>
      <c r="W25" s="536">
        <f t="shared" si="6"/>
        <v>5.2957500720425897E-2</v>
      </c>
      <c r="X25" s="388">
        <f>Tuotantokustannusvertailu!N202</f>
        <v>2.0431177446102819</v>
      </c>
      <c r="Y25" s="538">
        <f t="shared" si="7"/>
        <v>7.3171621419556698E-3</v>
      </c>
      <c r="Z25" s="389">
        <f>Tuotantokustannusvertailu!AC202</f>
        <v>2.0740740740740744</v>
      </c>
      <c r="AA25" s="540">
        <f t="shared" si="8"/>
        <v>5.1318553049060495E-3</v>
      </c>
      <c r="AC25" s="561">
        <f t="shared" si="1"/>
        <v>39.887008736368728</v>
      </c>
      <c r="AD25" s="561">
        <f t="shared" si="2"/>
        <v>2.0431177446102819</v>
      </c>
      <c r="AE25" s="561">
        <f t="shared" si="3"/>
        <v>37.843890991758443</v>
      </c>
      <c r="AF25" s="562">
        <f t="shared" si="15"/>
        <v>5.1222636375521935E-2</v>
      </c>
      <c r="AG25" s="564" t="str">
        <f>IF(AF25&lt;AG$13,"_","ovat pienemmät kuin vertailulaskelmassa")</f>
        <v>_</v>
      </c>
      <c r="AH25" s="564" t="str">
        <f>IF(AF25&gt;AH$13,"_","ovat suuremmat kuin vertailulaskelmassa")</f>
        <v>ovat suuremmat kuin vertailulaskelmassa</v>
      </c>
      <c r="AI25" s="564">
        <f t="shared" si="4"/>
        <v>0</v>
      </c>
      <c r="AK25" s="45" t="str">
        <f t="shared" si="11"/>
        <v>Muut muuttuvat kustannukset</v>
      </c>
      <c r="AL25" s="44" t="str">
        <f t="shared" si="5"/>
        <v>ovat suuremmat kuin vertailulaskelmassa</v>
      </c>
      <c r="AN25" s="245"/>
    </row>
    <row r="26" spans="2:40" x14ac:dyDescent="0.35">
      <c r="B26" s="77" t="s">
        <v>47</v>
      </c>
      <c r="C26" s="39"/>
      <c r="D26" s="39"/>
      <c r="E26" s="50" t="s">
        <v>358</v>
      </c>
      <c r="F26" s="50" t="s">
        <v>20</v>
      </c>
      <c r="G26" s="50" t="s">
        <v>21</v>
      </c>
      <c r="H26" s="50" t="s">
        <v>44</v>
      </c>
      <c r="I26" s="75" t="s">
        <v>22</v>
      </c>
      <c r="K26" s="877" t="s">
        <v>51</v>
      </c>
      <c r="L26" s="878"/>
      <c r="M26" s="36">
        <f>Lähtötiedot!C25</f>
        <v>0</v>
      </c>
      <c r="N26" s="23">
        <f t="shared" si="12"/>
        <v>0.23664415604308056</v>
      </c>
      <c r="O26" s="269">
        <f t="shared" si="13"/>
        <v>0</v>
      </c>
      <c r="P26" s="297"/>
      <c r="Q26" s="19"/>
      <c r="S26" s="39"/>
      <c r="T26" s="68" t="str">
        <f t="shared" si="14"/>
        <v>Eläinten ostot</v>
      </c>
      <c r="U26" s="39"/>
      <c r="V26" s="382">
        <f t="shared" si="16"/>
        <v>0</v>
      </c>
      <c r="W26" s="536">
        <f t="shared" si="6"/>
        <v>0</v>
      </c>
      <c r="X26" s="388">
        <f>Tuotantokustannusvertailu!N203</f>
        <v>4.0862354892205639</v>
      </c>
      <c r="Y26" s="538">
        <f t="shared" si="7"/>
        <v>1.463432428391134E-2</v>
      </c>
      <c r="Z26" s="389">
        <f>Tuotantokustannusvertailu!AC203</f>
        <v>4.1481481481481488</v>
      </c>
      <c r="AA26" s="540">
        <f t="shared" si="8"/>
        <v>1.0263710609812099E-2</v>
      </c>
      <c r="AC26" s="561">
        <f t="shared" si="1"/>
        <v>0</v>
      </c>
      <c r="AD26" s="561">
        <f t="shared" si="2"/>
        <v>4.0862354892205639</v>
      </c>
      <c r="AE26" s="561">
        <f t="shared" si="3"/>
        <v>-4.0862354892205639</v>
      </c>
      <c r="AF26" s="562" t="e">
        <f t="shared" si="15"/>
        <v>#DIV/0!</v>
      </c>
      <c r="AG26" s="564" t="e">
        <f>IF(AF26&lt;AG$13,"_","ovat pienemmät kuin vertailulaskelmassa")</f>
        <v>#DIV/0!</v>
      </c>
      <c r="AH26" s="564" t="e">
        <f>IF(AF26&gt;AH$13,"_","ovat suuremmat kuin vertailulaskelmassa")</f>
        <v>#DIV/0!</v>
      </c>
      <c r="AI26" s="564">
        <f t="shared" si="4"/>
        <v>1</v>
      </c>
      <c r="AK26" s="45" t="str">
        <f t="shared" si="11"/>
        <v>Eläinten ostot</v>
      </c>
      <c r="AL26" s="44" t="str">
        <f t="shared" si="5"/>
        <v>_</v>
      </c>
      <c r="AN26" s="245"/>
    </row>
    <row r="27" spans="2:40" x14ac:dyDescent="0.35">
      <c r="B27" s="77"/>
      <c r="C27" s="744" t="s">
        <v>357</v>
      </c>
      <c r="D27" s="77"/>
      <c r="E27" s="36">
        <f>'Rehun käyttö, nettosato'!E26</f>
        <v>0</v>
      </c>
      <c r="F27" s="36">
        <f>'Rehun käyttö, nettosato'!F26</f>
        <v>2000</v>
      </c>
      <c r="G27" s="745">
        <f>IF(E27=0,0,F27/E27)</f>
        <v>0</v>
      </c>
      <c r="H27" s="53">
        <f>'Rehun käyttö, nettosato'!H26</f>
        <v>0</v>
      </c>
      <c r="I27" s="53">
        <f>'Rehun käyttö, nettosato'!I26</f>
        <v>0</v>
      </c>
      <c r="K27" s="291" t="s">
        <v>52</v>
      </c>
      <c r="L27" s="36">
        <f>O26+Q27</f>
        <v>200</v>
      </c>
      <c r="M27" s="36">
        <f>L27*Q39*Energiantarve!J32/12</f>
        <v>18.333333333333332</v>
      </c>
      <c r="N27" s="22">
        <v>1</v>
      </c>
      <c r="O27" s="269">
        <f>IF(P$3="Tarkista",0,M27)</f>
        <v>18.333333333333332</v>
      </c>
      <c r="P27" s="297"/>
      <c r="Q27" s="24">
        <v>200</v>
      </c>
      <c r="S27" s="39"/>
      <c r="T27" s="68" t="str">
        <f t="shared" si="14"/>
        <v>Eläinpääoman korko</v>
      </c>
      <c r="U27" s="55"/>
      <c r="V27" s="382">
        <f t="shared" si="16"/>
        <v>7.0631602830978206</v>
      </c>
      <c r="W27" s="536">
        <f t="shared" si="6"/>
        <v>9.3776727719264239E-3</v>
      </c>
      <c r="X27" s="388">
        <f>Tuotantokustannusvertailu!N204</f>
        <v>0.20431177446102824</v>
      </c>
      <c r="Y27" s="538">
        <f t="shared" si="7"/>
        <v>7.3171621419556719E-4</v>
      </c>
      <c r="Z27" s="389">
        <f>Tuotantokustannusvertailu!AC204</f>
        <v>0.20740740740740746</v>
      </c>
      <c r="AA27" s="540">
        <f t="shared" si="8"/>
        <v>5.1318553049060499E-4</v>
      </c>
      <c r="AC27" s="561">
        <f t="shared" si="1"/>
        <v>7.0631602830978206</v>
      </c>
      <c r="AD27" s="561">
        <f t="shared" si="2"/>
        <v>0.20431177446102824</v>
      </c>
      <c r="AE27" s="561">
        <f t="shared" si="3"/>
        <v>6.8588485086367923</v>
      </c>
      <c r="AF27" s="562">
        <f t="shared" si="15"/>
        <v>2.8926396438991676E-2</v>
      </c>
      <c r="AG27" s="564" t="str">
        <f>IF(AF27&lt;AG$13,"_","on pienempi kuin vertailulaskelmissa")</f>
        <v>_</v>
      </c>
      <c r="AH27" s="564" t="str">
        <f>IF(AF27&gt;AH$13,"_","on suurempi kuin vertailulaskelmissa")</f>
        <v>on suurempi kuin vertailulaskelmissa</v>
      </c>
      <c r="AI27" s="564">
        <f t="shared" si="4"/>
        <v>0</v>
      </c>
      <c r="AK27" s="45" t="str">
        <f t="shared" si="11"/>
        <v>Eläinpääoman korko</v>
      </c>
      <c r="AL27" s="44" t="str">
        <f t="shared" si="5"/>
        <v>on suurempi kuin vertailulaskelmissa</v>
      </c>
      <c r="AN27" s="245"/>
    </row>
    <row r="28" spans="2:40" x14ac:dyDescent="0.35">
      <c r="B28" s="77"/>
      <c r="C28" s="744" t="s">
        <v>360</v>
      </c>
      <c r="D28" s="39"/>
      <c r="E28" s="36">
        <f>'Rehun käyttö, nettosato'!E27</f>
        <v>0</v>
      </c>
      <c r="F28" s="36">
        <f>'Rehun käyttö, nettosato'!F27</f>
        <v>0</v>
      </c>
      <c r="G28" s="745">
        <f>IF(E28=0,0,F28/E28)</f>
        <v>0</v>
      </c>
      <c r="H28" s="53">
        <f>'Rehun käyttö, nettosato'!H27</f>
        <v>0</v>
      </c>
      <c r="I28" s="53">
        <f>'Rehun käyttö, nettosato'!I27</f>
        <v>0</v>
      </c>
      <c r="K28" s="291" t="s">
        <v>53</v>
      </c>
      <c r="L28" s="36">
        <f>SUM(O12:O18,O21:O25,O31:O32)*Q28</f>
        <v>677.46345955436368</v>
      </c>
      <c r="M28" s="36">
        <f>L28*Q39*Energiantarve!J32/12</f>
        <v>62.100817125816668</v>
      </c>
      <c r="N28" s="22">
        <v>1</v>
      </c>
      <c r="O28" s="269">
        <f>IF(P$3="Tarkista",0,M28)</f>
        <v>62.100817125816668</v>
      </c>
      <c r="P28" s="297"/>
      <c r="Q28" s="23">
        <v>0.6</v>
      </c>
      <c r="S28" s="39"/>
      <c r="T28" s="68" t="str">
        <f t="shared" si="14"/>
        <v>Liikepääoman korko</v>
      </c>
      <c r="U28" s="73"/>
      <c r="V28" s="382">
        <f t="shared" si="16"/>
        <v>23.925165003872138</v>
      </c>
      <c r="W28" s="536">
        <f t="shared" si="6"/>
        <v>3.176515319319017E-2</v>
      </c>
      <c r="X28" s="388">
        <f>Tuotantokustannusvertailu!N205</f>
        <v>3.8503769069320078E-2</v>
      </c>
      <c r="Y28" s="538">
        <f t="shared" si="7"/>
        <v>1.3789627254711805E-4</v>
      </c>
      <c r="Z28" s="389">
        <f>Tuotantokustannusvertailu!AC205</f>
        <v>2.963119537777778E-2</v>
      </c>
      <c r="AA28" s="540">
        <f t="shared" si="8"/>
        <v>7.3316092752396882E-5</v>
      </c>
      <c r="AC28" s="561">
        <f t="shared" si="1"/>
        <v>23.925165003872138</v>
      </c>
      <c r="AD28" s="561">
        <f t="shared" si="2"/>
        <v>3.8503769069320078E-2</v>
      </c>
      <c r="AE28" s="561">
        <f t="shared" si="3"/>
        <v>23.886661234802819</v>
      </c>
      <c r="AF28" s="562">
        <f t="shared" si="15"/>
        <v>1.609341839986829E-3</v>
      </c>
      <c r="AG28" s="564" t="str">
        <f>IF(AF28&lt;AG$13,"_","on pienempi kuin vertailulaskelmissa")</f>
        <v>_</v>
      </c>
      <c r="AH28" s="564" t="str">
        <f>IF(AF28&gt;AH$13,"_","on suurempi kuin vertailulaskelmissa")</f>
        <v>on suurempi kuin vertailulaskelmissa</v>
      </c>
      <c r="AI28" s="564">
        <f t="shared" si="4"/>
        <v>0</v>
      </c>
      <c r="AK28" s="45" t="str">
        <f t="shared" si="11"/>
        <v>Liikepääoman korko</v>
      </c>
      <c r="AL28" s="44" t="str">
        <f t="shared" si="5"/>
        <v>on suurempi kuin vertailulaskelmissa</v>
      </c>
      <c r="AN28" s="245"/>
    </row>
    <row r="29" spans="2:40" x14ac:dyDescent="0.35">
      <c r="B29" s="77"/>
      <c r="C29" s="744" t="s">
        <v>359</v>
      </c>
      <c r="D29" s="77"/>
      <c r="E29" s="36">
        <f>'Rehun käyttö, nettosato'!E28</f>
        <v>0</v>
      </c>
      <c r="F29" s="36">
        <f>'Rehun käyttö, nettosato'!F28</f>
        <v>600</v>
      </c>
      <c r="G29" s="745">
        <f>IF(E29=0,0,F29/E29)</f>
        <v>0</v>
      </c>
      <c r="H29" s="39"/>
      <c r="I29" s="730"/>
      <c r="K29" s="19"/>
      <c r="L29" s="19"/>
      <c r="M29" s="19"/>
      <c r="N29" s="19"/>
      <c r="O29" s="273"/>
      <c r="P29" s="297"/>
      <c r="Q29" s="19"/>
      <c r="S29" s="39"/>
      <c r="T29" s="39"/>
      <c r="U29" s="39"/>
      <c r="V29" s="382"/>
      <c r="W29" s="537"/>
      <c r="X29" s="388"/>
      <c r="Y29" s="539"/>
      <c r="Z29" s="389"/>
      <c r="AA29" s="541"/>
      <c r="AC29" s="561"/>
      <c r="AD29" s="561"/>
      <c r="AE29" s="561"/>
      <c r="AF29" s="562"/>
      <c r="AN29" s="245"/>
    </row>
    <row r="30" spans="2:40" ht="15.5" x14ac:dyDescent="0.35">
      <c r="B30" s="77"/>
      <c r="C30" s="77"/>
      <c r="D30" s="39"/>
      <c r="E30" s="39"/>
      <c r="F30" s="39"/>
      <c r="G30" s="623"/>
      <c r="H30" s="39"/>
      <c r="I30" s="730"/>
      <c r="K30" s="51" t="s">
        <v>54</v>
      </c>
      <c r="L30" s="74" t="s">
        <v>55</v>
      </c>
      <c r="M30" s="663" t="s">
        <v>20</v>
      </c>
      <c r="N30" s="316" t="s">
        <v>38</v>
      </c>
      <c r="O30" s="402" t="s">
        <v>82</v>
      </c>
      <c r="P30" s="34" t="s">
        <v>466</v>
      </c>
      <c r="Q30" s="34" t="s">
        <v>512</v>
      </c>
      <c r="S30" s="61" t="s">
        <v>54</v>
      </c>
      <c r="T30" s="39"/>
      <c r="U30" s="39"/>
      <c r="V30" s="527">
        <f>SUM(V31:V32)</f>
        <v>0</v>
      </c>
      <c r="W30" s="63">
        <f>IF(V$42=0,0,V30/V$42)</f>
        <v>0</v>
      </c>
      <c r="X30" s="530">
        <f>SUM(X31:X32)</f>
        <v>49.271973466003317</v>
      </c>
      <c r="Y30" s="65">
        <f>IF(X$42=0,0,X30/X$42)</f>
        <v>0.17646120486984163</v>
      </c>
      <c r="Z30" s="531">
        <f>SUM(Z31:Z32)</f>
        <v>187.90740740740742</v>
      </c>
      <c r="AA30" s="67">
        <f>IF(Z$42=0,0,Z30/Z$42)</f>
        <v>0.46493692659715785</v>
      </c>
      <c r="AC30" s="561">
        <f t="shared" si="1"/>
        <v>0</v>
      </c>
      <c r="AD30" s="561">
        <f t="shared" si="2"/>
        <v>49.271973466003317</v>
      </c>
      <c r="AE30" s="561">
        <f t="shared" si="3"/>
        <v>-49.271973466003317</v>
      </c>
      <c r="AF30" s="562" t="e">
        <f>AD30/AC30</f>
        <v>#DIV/0!</v>
      </c>
      <c r="AG30" s="564" t="e">
        <f>IF(AF30&lt;AG$13,"_","on pienempi kuin vertailulaskelmissa")</f>
        <v>#DIV/0!</v>
      </c>
      <c r="AH30" s="564" t="e">
        <f>IF(AF30&gt;AH$13,"_","on suurempi kuin vertailulaskelmissa")</f>
        <v>#DIV/0!</v>
      </c>
      <c r="AI30" s="564">
        <f t="shared" si="4"/>
        <v>1</v>
      </c>
      <c r="AK30" s="45" t="str">
        <f>S30</f>
        <v>Työkustannus</v>
      </c>
      <c r="AL30" s="44" t="str">
        <f t="shared" si="5"/>
        <v>_</v>
      </c>
      <c r="AN30" s="245"/>
    </row>
    <row r="31" spans="2:40" x14ac:dyDescent="0.35">
      <c r="B31" s="77" t="s">
        <v>28</v>
      </c>
      <c r="C31" s="39"/>
      <c r="D31" s="39"/>
      <c r="E31" s="50" t="s">
        <v>27</v>
      </c>
      <c r="F31" s="50" t="s">
        <v>20</v>
      </c>
      <c r="G31" s="50" t="s">
        <v>25</v>
      </c>
      <c r="H31" s="39"/>
      <c r="I31" s="75" t="s">
        <v>22</v>
      </c>
      <c r="K31" s="17" t="s">
        <v>56</v>
      </c>
      <c r="L31" s="215">
        <f>Lähtötiedot!G21-L32</f>
        <v>0</v>
      </c>
      <c r="M31" s="36">
        <f>L31*365*P31</f>
        <v>0</v>
      </c>
      <c r="N31" s="22">
        <v>1</v>
      </c>
      <c r="O31" s="269">
        <f>IF(P$3="Tarkista",0,M31*N31/P$3)</f>
        <v>0</v>
      </c>
      <c r="P31" s="293">
        <f>'Säilörehun tuotantokustannus'!$P$26</f>
        <v>17</v>
      </c>
      <c r="Q31" s="215">
        <f>IF(P31=0,0,O31/P31)</f>
        <v>0</v>
      </c>
      <c r="S31" s="39"/>
      <c r="T31" s="39" t="s">
        <v>243</v>
      </c>
      <c r="U31" s="39"/>
      <c r="V31" s="382">
        <f>IF(P$3="Tarkista",0,O31*(1-Q$43)/(M$5/P$3)*100)</f>
        <v>0</v>
      </c>
      <c r="W31" s="536">
        <f>IF(V$42=0,0,V31/V$42)</f>
        <v>0</v>
      </c>
      <c r="X31" s="388">
        <f>Tuotantokustannusvertailu!N208</f>
        <v>45.276948590381423</v>
      </c>
      <c r="Y31" s="538">
        <f>IF(X$42=0,0,X31/X$42)</f>
        <v>0.16215353961012474</v>
      </c>
      <c r="Z31" s="389">
        <f>Tuotantokustannusvertailu!AC208</f>
        <v>183.85185185185188</v>
      </c>
      <c r="AA31" s="540">
        <f>IF(Z$42=0,0,Z31/Z$42)</f>
        <v>0.45490231667060049</v>
      </c>
      <c r="AC31" s="561">
        <f t="shared" si="1"/>
        <v>0</v>
      </c>
      <c r="AD31" s="561">
        <f t="shared" si="2"/>
        <v>45.276948590381423</v>
      </c>
      <c r="AE31" s="561">
        <f t="shared" si="3"/>
        <v>-45.276948590381423</v>
      </c>
      <c r="AF31" s="562" t="e">
        <f>AD31/AC31</f>
        <v>#DIV/0!</v>
      </c>
      <c r="AG31" s="564" t="e">
        <f>IF(AF31&lt;AG$13,"_","on pienempi kuin vertailulaskelmissa")</f>
        <v>#DIV/0!</v>
      </c>
      <c r="AH31" s="564" t="e">
        <f>IF(AF31&gt;AH$13,"_","on suurempi kuin vertailulaskelmissa")</f>
        <v>#DIV/0!</v>
      </c>
      <c r="AI31" s="564">
        <f t="shared" si="4"/>
        <v>1</v>
      </c>
      <c r="AK31" s="45" t="str">
        <f>T31</f>
        <v>Yrittäjäperheen työkust.</v>
      </c>
      <c r="AL31" s="44" t="str">
        <f t="shared" si="5"/>
        <v>_</v>
      </c>
      <c r="AN31" s="245"/>
    </row>
    <row r="32" spans="2:40" x14ac:dyDescent="0.35">
      <c r="B32" s="39"/>
      <c r="C32" s="300" t="s">
        <v>361</v>
      </c>
      <c r="D32" s="640"/>
      <c r="E32" s="36">
        <f>'Rehun käyttö, nettosato'!E31</f>
        <v>0</v>
      </c>
      <c r="F32" s="36">
        <f>'Rehun käyttö, nettosato'!F31</f>
        <v>0</v>
      </c>
      <c r="G32" s="745">
        <f>IF(E32=0,0,F32/E32)</f>
        <v>0</v>
      </c>
      <c r="H32" s="39"/>
      <c r="I32" s="53">
        <f>'Rehun käyttö, nettosato'!I31</f>
        <v>0</v>
      </c>
      <c r="K32" s="17" t="s">
        <v>61</v>
      </c>
      <c r="L32" s="215">
        <f>Lähtötiedot!H24/365</f>
        <v>0</v>
      </c>
      <c r="M32" s="24">
        <f>L32*365*P32</f>
        <v>0</v>
      </c>
      <c r="N32" s="22">
        <v>1</v>
      </c>
      <c r="O32" s="269">
        <f>IF(P$3="Tarkista",0,M32*N32/P$3)</f>
        <v>0</v>
      </c>
      <c r="P32" s="293">
        <f>'Säilörehun tuotantokustannus'!$P$27</f>
        <v>15</v>
      </c>
      <c r="Q32" s="215">
        <f>IF(P32=0,0,O32/P32)</f>
        <v>0</v>
      </c>
      <c r="S32" s="39"/>
      <c r="T32" s="39" t="s">
        <v>62</v>
      </c>
      <c r="U32" s="39"/>
      <c r="V32" s="382">
        <f>IF(P$3="Tarkista",0,O32*(1-Q$43)/(M$5/P$3)*100)</f>
        <v>0</v>
      </c>
      <c r="W32" s="536">
        <f>IF(V$42=0,0,V32/V$42)</f>
        <v>0</v>
      </c>
      <c r="X32" s="388">
        <f>Tuotantokustannusvertailu!N209</f>
        <v>3.9950248756218909</v>
      </c>
      <c r="Y32" s="538">
        <f>IF(X$42=0,0,X32/X$42)</f>
        <v>1.4307665259716891E-2</v>
      </c>
      <c r="Z32" s="389">
        <f>Tuotantokustannusvertailu!AC209</f>
        <v>4.0555555555555554</v>
      </c>
      <c r="AA32" s="540">
        <f>IF(Z$42=0,0,Z32/Z$42)</f>
        <v>1.0034609926557362E-2</v>
      </c>
      <c r="AC32" s="561">
        <f t="shared" si="1"/>
        <v>0</v>
      </c>
      <c r="AD32" s="561">
        <f t="shared" si="2"/>
        <v>3.9950248756218909</v>
      </c>
      <c r="AE32" s="561">
        <f t="shared" si="3"/>
        <v>-3.9950248756218909</v>
      </c>
      <c r="AF32" s="562" t="e">
        <f>AD32/AC32</f>
        <v>#DIV/0!</v>
      </c>
      <c r="AG32" s="564" t="e">
        <f>IF(AF32&lt;AG$13,"_","on pienempi kuin vertailulaskelmissa")</f>
        <v>#DIV/0!</v>
      </c>
      <c r="AH32" s="564" t="e">
        <f>IF(AF32&gt;AH$13,"_","on suurempi kuin vertailulaskelmissa")</f>
        <v>#DIV/0!</v>
      </c>
      <c r="AI32" s="564">
        <f t="shared" si="4"/>
        <v>1</v>
      </c>
      <c r="AK32" s="45" t="str">
        <f>T32</f>
        <v>Palkkatyökustannus</v>
      </c>
      <c r="AL32" s="44" t="str">
        <f t="shared" si="5"/>
        <v>_</v>
      </c>
      <c r="AN32" s="245"/>
    </row>
    <row r="33" spans="2:40" x14ac:dyDescent="0.35">
      <c r="B33" s="39"/>
      <c r="C33" s="300" t="s">
        <v>362</v>
      </c>
      <c r="D33" s="640"/>
      <c r="E33" s="36">
        <f>'Rehun käyttö, nettosato'!E32</f>
        <v>0</v>
      </c>
      <c r="F33" s="36">
        <f>'Rehun käyttö, nettosato'!F32</f>
        <v>0</v>
      </c>
      <c r="G33" s="745">
        <f>IF(E33=0,0,F33/E33)</f>
        <v>0</v>
      </c>
      <c r="H33" s="39"/>
      <c r="I33" s="53">
        <f>'Rehun käyttö, nettosato'!I32</f>
        <v>0</v>
      </c>
      <c r="K33" s="19"/>
      <c r="L33" s="19"/>
      <c r="M33" s="19"/>
      <c r="N33" s="19"/>
      <c r="O33" s="273"/>
      <c r="P33" s="297"/>
      <c r="Q33" s="19"/>
      <c r="S33" s="39"/>
      <c r="T33" s="39"/>
      <c r="U33" s="39"/>
      <c r="V33" s="382"/>
      <c r="W33" s="537"/>
      <c r="X33" s="388"/>
      <c r="Y33" s="539"/>
      <c r="Z33" s="389"/>
      <c r="AA33" s="541"/>
      <c r="AC33" s="561"/>
      <c r="AD33" s="561"/>
      <c r="AE33" s="561"/>
      <c r="AF33" s="562"/>
      <c r="AK33" s="45"/>
      <c r="AN33" s="245"/>
    </row>
    <row r="34" spans="2:40" ht="16" thickBot="1" x14ac:dyDescent="0.4">
      <c r="B34" s="39"/>
      <c r="C34" s="746" t="s">
        <v>419</v>
      </c>
      <c r="D34" s="640"/>
      <c r="E34" s="36">
        <f>'Rehun käyttö, nettosato'!E33</f>
        <v>0</v>
      </c>
      <c r="F34" s="36">
        <f>'Rehun käyttö, nettosato'!F33</f>
        <v>0</v>
      </c>
      <c r="G34" s="745">
        <f>IF(E34=0,0,F34/E34)</f>
        <v>0</v>
      </c>
      <c r="H34" s="39"/>
      <c r="I34" s="53">
        <f>'Rehun käyttö, nettosato'!I33</f>
        <v>0</v>
      </c>
      <c r="K34" s="51" t="s">
        <v>63</v>
      </c>
      <c r="L34" s="19"/>
      <c r="M34" s="21"/>
      <c r="N34" s="20"/>
      <c r="O34" s="391"/>
      <c r="P34" s="297"/>
      <c r="Q34" s="19"/>
      <c r="S34" s="39"/>
      <c r="T34" s="39"/>
      <c r="U34" s="39"/>
      <c r="V34" s="382"/>
      <c r="W34" s="537"/>
      <c r="X34" s="388"/>
      <c r="Y34" s="539"/>
      <c r="Z34" s="389"/>
      <c r="AA34" s="541"/>
      <c r="AC34" s="561"/>
      <c r="AD34" s="561"/>
      <c r="AE34" s="561"/>
      <c r="AF34" s="562"/>
      <c r="AK34" s="45"/>
      <c r="AN34" s="245"/>
    </row>
    <row r="35" spans="2:40" ht="15" thickTop="1" x14ac:dyDescent="0.35">
      <c r="B35" s="39"/>
      <c r="C35" s="39"/>
      <c r="D35" s="56" t="s">
        <v>31</v>
      </c>
      <c r="E35" s="39"/>
      <c r="F35" s="39"/>
      <c r="G35" s="39"/>
      <c r="H35" s="39"/>
      <c r="I35" s="53">
        <f>SUM(I32:I34)</f>
        <v>0</v>
      </c>
      <c r="K35" s="277" t="s">
        <v>64</v>
      </c>
      <c r="L35" s="292" t="s">
        <v>769</v>
      </c>
      <c r="M35" s="663" t="s">
        <v>20</v>
      </c>
      <c r="N35" s="316" t="s">
        <v>38</v>
      </c>
      <c r="O35" s="402" t="s">
        <v>82</v>
      </c>
      <c r="P35" s="297"/>
      <c r="Q35" s="34" t="s">
        <v>470</v>
      </c>
      <c r="S35" s="61" t="s">
        <v>63</v>
      </c>
      <c r="T35" s="39"/>
      <c r="U35" s="39"/>
      <c r="V35" s="527">
        <f>SUM(V36:V40)</f>
        <v>264.40513081877367</v>
      </c>
      <c r="W35" s="63">
        <f t="shared" ref="W35:W40" si="17">IF(V$42=0,0,V35/V$42)</f>
        <v>0.35104750517559768</v>
      </c>
      <c r="X35" s="530">
        <f>SUM(X36:X40)</f>
        <v>43.252802653399669</v>
      </c>
      <c r="Y35" s="65">
        <f t="shared" ref="Y35:Y40" si="18">IF(X$42=0,0,X35/X$42)</f>
        <v>0.15490432254520153</v>
      </c>
      <c r="Z35" s="531">
        <f>SUM(Z36:Z40)</f>
        <v>44.530370370370377</v>
      </c>
      <c r="AA35" s="67">
        <f t="shared" ref="AA35:AA40" si="19">IF(Z$42=0,0,Z35/Z$42)</f>
        <v>0.11018093339633288</v>
      </c>
      <c r="AC35" s="561">
        <f t="shared" si="1"/>
        <v>264.40513081877367</v>
      </c>
      <c r="AD35" s="561">
        <f t="shared" si="2"/>
        <v>43.252802653399669</v>
      </c>
      <c r="AE35" s="561">
        <f t="shared" si="3"/>
        <v>221.152328165374</v>
      </c>
      <c r="AF35" s="562">
        <f t="shared" ref="AF35:AF40" si="20">AD35/AC35</f>
        <v>0.16358533784673657</v>
      </c>
      <c r="AG35" s="564" t="str">
        <f>IF(AF35&lt;AG$13,"_","ovat pienemmät kuin vertailulaskelmassa")</f>
        <v>_</v>
      </c>
      <c r="AH35" s="564" t="str">
        <f>IF(AF35&gt;AH$13,"_","ovat suuremmat kuin vertailulaskelmassa")</f>
        <v>ovat suuremmat kuin vertailulaskelmassa</v>
      </c>
      <c r="AI35" s="564">
        <f t="shared" si="4"/>
        <v>0</v>
      </c>
      <c r="AK35" s="45" t="str">
        <f>S35</f>
        <v>Kiinteät kustannukset</v>
      </c>
      <c r="AL35" s="44" t="str">
        <f t="shared" si="5"/>
        <v>ovat suuremmat kuin vertailulaskelmassa</v>
      </c>
      <c r="AN35" s="245"/>
    </row>
    <row r="36" spans="2:40" ht="15" thickBot="1" x14ac:dyDescent="0.4">
      <c r="C36" s="39"/>
      <c r="D36" s="39"/>
      <c r="E36" s="39"/>
      <c r="F36" s="39"/>
      <c r="G36" s="39"/>
      <c r="H36" s="39"/>
      <c r="I36" s="39"/>
      <c r="K36" s="278" t="s">
        <v>474</v>
      </c>
      <c r="L36" s="431">
        <f>Lähtötiedot!M19</f>
        <v>70000</v>
      </c>
      <c r="M36" s="16">
        <f>L36/Lähtötiedot!L19</f>
        <v>4666.666666666667</v>
      </c>
      <c r="N36" s="23">
        <f>N$14</f>
        <v>0.23664415604308056</v>
      </c>
      <c r="O36" s="269">
        <f>IF(P$3="Tarkista",0,M36*N36/P$3)</f>
        <v>138.04242435846368</v>
      </c>
      <c r="P36" s="297"/>
      <c r="Q36" s="266">
        <v>0.03</v>
      </c>
      <c r="S36" s="39"/>
      <c r="T36" s="39" t="s">
        <v>67</v>
      </c>
      <c r="U36" s="39"/>
      <c r="V36" s="382">
        <f>IF(P$3="Tarkista",0,O36*(1-Q$43)/(M$5/P$3)*100)</f>
        <v>53.182678315158306</v>
      </c>
      <c r="W36" s="536">
        <f t="shared" si="17"/>
        <v>7.0610000960567867E-2</v>
      </c>
      <c r="X36" s="388">
        <f>Tuotantokustannusvertailu!N213</f>
        <v>10.351796572692098</v>
      </c>
      <c r="Y36" s="538">
        <f t="shared" si="18"/>
        <v>3.7073621519242074E-2</v>
      </c>
      <c r="Z36" s="389">
        <f>Tuotantokustannusvertailu!AC213</f>
        <v>10.508641975308644</v>
      </c>
      <c r="AA36" s="540">
        <f t="shared" si="19"/>
        <v>2.6001400211523983E-2</v>
      </c>
      <c r="AC36" s="561">
        <f t="shared" si="1"/>
        <v>53.182678315158306</v>
      </c>
      <c r="AD36" s="561">
        <f t="shared" si="2"/>
        <v>10.351796572692098</v>
      </c>
      <c r="AE36" s="561">
        <f t="shared" si="3"/>
        <v>42.830881742466204</v>
      </c>
      <c r="AF36" s="562">
        <f t="shared" si="20"/>
        <v>0.19464601822698341</v>
      </c>
      <c r="AG36" s="564" t="str">
        <f>IF(AF36&lt;AG$13,"_","ovat pienemmät kuin vertailulaskelmassa")</f>
        <v>_</v>
      </c>
      <c r="AH36" s="564" t="str">
        <f>IF(AF36&gt;AH$13,"_","ovat suuremmat kuin vertailulaskelmassa")</f>
        <v>ovat suuremmat kuin vertailulaskelmassa</v>
      </c>
      <c r="AI36" s="564">
        <f t="shared" si="4"/>
        <v>0</v>
      </c>
      <c r="AK36" s="45" t="str">
        <f>T36</f>
        <v>Konepoistot</v>
      </c>
      <c r="AL36" s="44" t="str">
        <f t="shared" si="5"/>
        <v>ovat suuremmat kuin vertailulaskelmassa</v>
      </c>
      <c r="AN36" s="245"/>
    </row>
    <row r="37" spans="2:40" ht="15" thickBot="1" x14ac:dyDescent="0.4">
      <c r="B37" s="77" t="s">
        <v>33</v>
      </c>
      <c r="C37" s="39"/>
      <c r="D37" s="39"/>
      <c r="E37" s="39"/>
      <c r="F37" s="39"/>
      <c r="G37" s="39"/>
      <c r="H37" s="748">
        <f>1-I12/I37</f>
        <v>4.5520351340867515E-3</v>
      </c>
      <c r="I37" s="747">
        <f>SUM(I17:I28)-I35</f>
        <v>2116241.2371134018</v>
      </c>
      <c r="K37" s="279" t="s">
        <v>68</v>
      </c>
      <c r="L37" s="432">
        <f>Lähtötiedot!M20</f>
        <v>120000</v>
      </c>
      <c r="M37" s="16">
        <f>L37/Lähtötiedot!L20</f>
        <v>8000</v>
      </c>
      <c r="N37" s="23">
        <f>N$14</f>
        <v>0.23664415604308056</v>
      </c>
      <c r="O37" s="269">
        <f>IF(P$3="Tarkista",0,M37*N37/P$3)</f>
        <v>236.64415604308056</v>
      </c>
      <c r="P37" s="297"/>
      <c r="Q37" s="266">
        <v>0.01</v>
      </c>
      <c r="S37" s="39"/>
      <c r="T37" s="39" t="s">
        <v>69</v>
      </c>
      <c r="U37" s="39"/>
      <c r="V37" s="382">
        <f>IF(P$3="Tarkista",0,O37*(1-Q$43)/(M$5/P$3)*100)</f>
        <v>91.170305683128532</v>
      </c>
      <c r="W37" s="536">
        <f t="shared" si="17"/>
        <v>0.12104571593240207</v>
      </c>
      <c r="X37" s="388">
        <f>Tuotantokustannusvertailu!N214</f>
        <v>11.713875069098952</v>
      </c>
      <c r="Y37" s="538">
        <f t="shared" si="18"/>
        <v>4.1951729613879184E-2</v>
      </c>
      <c r="Z37" s="389">
        <f>Tuotantokustannusvertailu!AC214</f>
        <v>11.89135802469136</v>
      </c>
      <c r="AA37" s="540">
        <f t="shared" si="19"/>
        <v>2.9422637081461353E-2</v>
      </c>
      <c r="AC37" s="561">
        <f t="shared" si="1"/>
        <v>91.170305683128532</v>
      </c>
      <c r="AD37" s="561">
        <f t="shared" si="2"/>
        <v>11.713875069098952</v>
      </c>
      <c r="AE37" s="561">
        <f t="shared" si="3"/>
        <v>79.456430614029586</v>
      </c>
      <c r="AF37" s="562">
        <f t="shared" si="20"/>
        <v>0.1284834462419342</v>
      </c>
      <c r="AG37" s="564" t="str">
        <f>IF(AF37&lt;AG$13,"_","ovat pienemmät kuin vertailulaskelmassa")</f>
        <v>_</v>
      </c>
      <c r="AH37" s="564" t="str">
        <f>IF(AF37&gt;AH$13,"_","ovat suuremmat kuin vertailulaskelmassa")</f>
        <v>ovat suuremmat kuin vertailulaskelmassa</v>
      </c>
      <c r="AI37" s="564">
        <f t="shared" si="4"/>
        <v>0</v>
      </c>
      <c r="AK37" s="45" t="str">
        <f>T37</f>
        <v>Rakennuspoistot</v>
      </c>
      <c r="AL37" s="44" t="str">
        <f t="shared" si="5"/>
        <v>ovat suuremmat kuin vertailulaskelmassa</v>
      </c>
      <c r="AN37" s="245"/>
    </row>
    <row r="38" spans="2:40" x14ac:dyDescent="0.35">
      <c r="B38" s="78"/>
      <c r="C38" s="78"/>
      <c r="D38" s="78"/>
      <c r="E38" s="79"/>
      <c r="F38" s="398"/>
      <c r="G38" s="399"/>
      <c r="H38" s="400"/>
      <c r="I38" s="399"/>
      <c r="K38" s="276" t="s">
        <v>71</v>
      </c>
      <c r="L38" s="433">
        <f>Lähtötiedot!M24+Lähtötiedot!M25</f>
        <v>5000</v>
      </c>
      <c r="M38" s="24">
        <f>IF(P$3="Tarkista",0,L38/P$3)</f>
        <v>625</v>
      </c>
      <c r="N38" s="23">
        <f>N$14</f>
        <v>0.23664415604308056</v>
      </c>
      <c r="O38" s="269">
        <f>M38*N38</f>
        <v>147.90259752692535</v>
      </c>
      <c r="P38" s="297"/>
      <c r="Q38" s="24">
        <f>IF(P3="Tarkista",0,(L37*Q37+L36*Q36)/P3)</f>
        <v>412.5</v>
      </c>
      <c r="S38" s="39"/>
      <c r="T38" s="39" t="s">
        <v>71</v>
      </c>
      <c r="U38" s="39"/>
      <c r="V38" s="382">
        <f>IF(P$3="Tarkista",0,O38*(1-Q$43)/(M$5/P$3)*100)</f>
        <v>56.981441051955329</v>
      </c>
      <c r="W38" s="536">
        <f t="shared" si="17"/>
        <v>7.5653572457751284E-2</v>
      </c>
      <c r="X38" s="388">
        <f>Tuotantokustannusvertailu!N215</f>
        <v>4.6991708126036489</v>
      </c>
      <c r="Y38" s="538">
        <f t="shared" si="18"/>
        <v>1.6829472926498043E-2</v>
      </c>
      <c r="Z38" s="389">
        <f>Tuotantokustannusvertailu!AC215</f>
        <v>4.7703703703703706</v>
      </c>
      <c r="AA38" s="540">
        <f t="shared" si="19"/>
        <v>1.1803267201283912E-2</v>
      </c>
      <c r="AC38" s="561">
        <f t="shared" si="1"/>
        <v>56.981441051955329</v>
      </c>
      <c r="AD38" s="561">
        <f t="shared" si="2"/>
        <v>4.6991708126036489</v>
      </c>
      <c r="AE38" s="561">
        <f t="shared" si="3"/>
        <v>52.282270239351682</v>
      </c>
      <c r="AF38" s="562">
        <f t="shared" si="20"/>
        <v>8.2468444564590321E-2</v>
      </c>
      <c r="AG38" s="564" t="str">
        <f>IF(AF38&lt;AG$13,"_","on pienempi kuin vertailulaskelmissa")</f>
        <v>_</v>
      </c>
      <c r="AH38" s="564" t="str">
        <f>IF(AF38&gt;AH$13,"_","on suurempi kuin vertailulaskelmissa")</f>
        <v>on suurempi kuin vertailulaskelmissa</v>
      </c>
      <c r="AI38" s="564">
        <f t="shared" si="4"/>
        <v>0</v>
      </c>
      <c r="AK38" s="45" t="str">
        <f>T38</f>
        <v>Huolto ja kunnossapito</v>
      </c>
      <c r="AL38" s="44" t="str">
        <f t="shared" si="5"/>
        <v>on suurempi kuin vertailulaskelmissa</v>
      </c>
      <c r="AN38" s="245"/>
    </row>
    <row r="39" spans="2:40" x14ac:dyDescent="0.35">
      <c r="B39" s="585" t="s">
        <v>681</v>
      </c>
      <c r="C39" s="586"/>
      <c r="D39" s="587"/>
      <c r="E39" s="549" t="s">
        <v>40</v>
      </c>
      <c r="F39" s="543" t="s">
        <v>41</v>
      </c>
      <c r="G39" s="544" t="s">
        <v>42</v>
      </c>
      <c r="H39" s="11"/>
      <c r="I39" s="11"/>
      <c r="K39" s="14" t="s">
        <v>73</v>
      </c>
      <c r="L39" s="36">
        <f>(L36+L37+L41)/2*Q39</f>
        <v>4750</v>
      </c>
      <c r="M39" s="36">
        <f>IF(P$3="Tarkista",0,L39/P$3)</f>
        <v>593.75</v>
      </c>
      <c r="N39" s="23">
        <f>N$14</f>
        <v>0.23664415604308056</v>
      </c>
      <c r="O39" s="269">
        <f>M39*N39</f>
        <v>140.50746765057909</v>
      </c>
      <c r="P39" s="297"/>
      <c r="Q39" s="23">
        <v>0.05</v>
      </c>
      <c r="S39" s="39"/>
      <c r="T39" s="39" t="s">
        <v>73</v>
      </c>
      <c r="U39" s="39"/>
      <c r="V39" s="382">
        <f>IF(P$3="Tarkista",0,O39*(1-Q$43)/(M$5/P$3)*100)</f>
        <v>54.13236899935756</v>
      </c>
      <c r="W39" s="536">
        <f t="shared" si="17"/>
        <v>7.1870893834863725E-2</v>
      </c>
      <c r="X39" s="388">
        <f>Tuotantokustannusvertailu!N216</f>
        <v>8.2746268656716424</v>
      </c>
      <c r="Y39" s="538">
        <f t="shared" si="18"/>
        <v>2.9634506674920465E-2</v>
      </c>
      <c r="Z39" s="389">
        <f>Tuotantokustannusvertailu!AC216</f>
        <v>8.4</v>
      </c>
      <c r="AA39" s="540">
        <f t="shared" si="19"/>
        <v>2.0784013984869499E-2</v>
      </c>
      <c r="AC39" s="561">
        <f t="shared" si="1"/>
        <v>54.13236899935756</v>
      </c>
      <c r="AD39" s="561">
        <f t="shared" si="2"/>
        <v>8.2746268656716424</v>
      </c>
      <c r="AE39" s="561">
        <f t="shared" si="3"/>
        <v>45.857742133685917</v>
      </c>
      <c r="AF39" s="562">
        <f t="shared" si="20"/>
        <v>0.15285913065747861</v>
      </c>
      <c r="AG39" s="564" t="str">
        <f>IF(AF39&lt;AG$13,"_","on pienempi kuin vertailulaskelmissa")</f>
        <v>_</v>
      </c>
      <c r="AH39" s="564" t="str">
        <f>IF(AF39&gt;AH$13,"_","on suurempi kuin vertailulaskelmissa")</f>
        <v>on suurempi kuin vertailulaskelmissa</v>
      </c>
      <c r="AI39" s="564">
        <f t="shared" si="4"/>
        <v>0</v>
      </c>
      <c r="AK39" s="45" t="str">
        <f>T39</f>
        <v>Korko</v>
      </c>
      <c r="AL39" s="44" t="str">
        <f t="shared" si="5"/>
        <v>on suurempi kuin vertailulaskelmissa</v>
      </c>
      <c r="AN39" s="245"/>
    </row>
    <row r="40" spans="2:40" x14ac:dyDescent="0.35">
      <c r="B40" s="545" t="s">
        <v>689</v>
      </c>
      <c r="C40" s="545"/>
      <c r="D40" s="545"/>
      <c r="E40" s="550">
        <f>O9</f>
        <v>1634</v>
      </c>
      <c r="F40" s="546">
        <f>Tuotantokustannusvertailu!G186</f>
        <v>1340</v>
      </c>
      <c r="G40" s="547">
        <f>Tuotantokustannusvertailu!V186</f>
        <v>720</v>
      </c>
      <c r="H40" s="11"/>
      <c r="I40" s="11"/>
      <c r="K40" s="14" t="s">
        <v>74</v>
      </c>
      <c r="L40" s="36">
        <f>IF(P3="Tarkista",0,M40*P3)</f>
        <v>784.31999999999994</v>
      </c>
      <c r="M40" s="36">
        <f>O9*Q40</f>
        <v>98.039999999999992</v>
      </c>
      <c r="N40" s="23">
        <f>N$14</f>
        <v>0.23664415604308056</v>
      </c>
      <c r="O40" s="269">
        <f>M40*N40</f>
        <v>23.200593058463618</v>
      </c>
      <c r="P40" s="297"/>
      <c r="Q40" s="23">
        <v>0.06</v>
      </c>
      <c r="S40" s="39"/>
      <c r="T40" s="39" t="s">
        <v>74</v>
      </c>
      <c r="U40" s="39"/>
      <c r="V40" s="382">
        <f>IF(P$3="Tarkista",0,O40*(1-Q$43)/(M$5/P$3)*100)</f>
        <v>8.9383367691739206</v>
      </c>
      <c r="W40" s="536">
        <f t="shared" si="17"/>
        <v>1.1867321990012697E-2</v>
      </c>
      <c r="X40" s="388">
        <f>Tuotantokustannusvertailu!N217</f>
        <v>8.2133333333333329</v>
      </c>
      <c r="Y40" s="538">
        <f t="shared" si="18"/>
        <v>2.9414991810661789E-2</v>
      </c>
      <c r="Z40" s="389">
        <f>Tuotantokustannusvertailu!AC217</f>
        <v>8.9599999999999991</v>
      </c>
      <c r="AA40" s="540">
        <f t="shared" si="19"/>
        <v>2.2169614917194127E-2</v>
      </c>
      <c r="AC40" s="561">
        <f t="shared" si="1"/>
        <v>8.9383367691739206</v>
      </c>
      <c r="AD40" s="561">
        <f t="shared" si="2"/>
        <v>8.2133333333333329</v>
      </c>
      <c r="AE40" s="561">
        <f t="shared" si="3"/>
        <v>0.72500343584058768</v>
      </c>
      <c r="AF40" s="562">
        <f t="shared" si="20"/>
        <v>0.91888832849295377</v>
      </c>
      <c r="AG40" s="564" t="str">
        <f>IF(AF40&lt;AG$13,"_","ovat pienemmät kuin vertailulaskelmassa")</f>
        <v>_</v>
      </c>
      <c r="AH40" s="564" t="str">
        <f>IF(AF40&gt;AH$13,"_","ovat suuremmat kuin vertailulaskelmassa")</f>
        <v>_</v>
      </c>
      <c r="AI40" s="564">
        <f t="shared" si="4"/>
        <v>0</v>
      </c>
      <c r="AK40" s="45" t="str">
        <f>T40</f>
        <v>Yleiskustannus</v>
      </c>
      <c r="AL40" s="44" t="str">
        <f t="shared" si="5"/>
        <v>_</v>
      </c>
      <c r="AN40" s="245"/>
    </row>
    <row r="41" spans="2:40" ht="15" thickBot="1" x14ac:dyDescent="0.4">
      <c r="B41" s="548" t="s">
        <v>678</v>
      </c>
      <c r="C41" s="545"/>
      <c r="D41" s="545"/>
      <c r="E41" s="550">
        <f>SUM(O14:O28)</f>
        <v>1268.7009553938599</v>
      </c>
      <c r="F41" s="546">
        <f>SUM(Tuotantokustannusvertailu!G191:G205)</f>
        <v>511.72202745188855</v>
      </c>
      <c r="G41" s="547">
        <f>SUM(Tuotantokustannusvertailu!V191:V205)</f>
        <v>231.82064211375999</v>
      </c>
      <c r="H41" s="11"/>
      <c r="I41" s="11"/>
      <c r="J41" s="80"/>
      <c r="K41" s="39"/>
      <c r="L41" s="39"/>
      <c r="M41" s="39"/>
      <c r="N41" s="39"/>
      <c r="O41" s="89"/>
      <c r="P41" s="298"/>
      <c r="Q41" s="39"/>
      <c r="S41" s="39"/>
      <c r="T41" s="39"/>
      <c r="U41" s="39"/>
      <c r="V41" s="382"/>
      <c r="W41" s="382"/>
      <c r="X41" s="388"/>
      <c r="Y41" s="388"/>
      <c r="Z41" s="389"/>
      <c r="AA41" s="389"/>
      <c r="AC41" s="561"/>
      <c r="AD41" s="561"/>
      <c r="AE41" s="561"/>
      <c r="AF41" s="562"/>
      <c r="AK41" s="45"/>
      <c r="AN41" s="245"/>
    </row>
    <row r="42" spans="2:40" s="49" customFormat="1" ht="15" thickBot="1" x14ac:dyDescent="0.4">
      <c r="B42" s="551" t="s">
        <v>675</v>
      </c>
      <c r="C42" s="551"/>
      <c r="D42" s="551"/>
      <c r="E42" s="552">
        <f>E40-E41</f>
        <v>365.29904460614011</v>
      </c>
      <c r="F42" s="553">
        <f>F40-F41</f>
        <v>828.27797254811139</v>
      </c>
      <c r="G42" s="554">
        <f>G40-G41</f>
        <v>488.17935788624004</v>
      </c>
      <c r="H42" s="665"/>
      <c r="I42" s="123"/>
      <c r="K42" s="39"/>
      <c r="L42" s="39"/>
      <c r="M42" s="39"/>
      <c r="N42" s="56" t="s">
        <v>526</v>
      </c>
      <c r="O42" s="271">
        <f>SUM(O14:O40)</f>
        <v>1954.9981940313723</v>
      </c>
      <c r="P42" s="298"/>
      <c r="Q42" s="39"/>
      <c r="S42" s="61" t="s">
        <v>506</v>
      </c>
      <c r="T42" s="77"/>
      <c r="U42" s="44"/>
      <c r="V42" s="383">
        <f>SUM(V15:V29,V31:V33,V36:V41)</f>
        <v>753.18903259692854</v>
      </c>
      <c r="W42" s="529"/>
      <c r="X42" s="405">
        <f>SUM(X15:X29,X31:X33,X36:X41)</f>
        <v>279.22269658277855</v>
      </c>
      <c r="Y42" s="532"/>
      <c r="Z42" s="406">
        <f>SUM(Z15:Z29,Z31:Z33,Z36:Z41)</f>
        <v>404.15677193611856</v>
      </c>
      <c r="AA42" s="533"/>
      <c r="AC42" s="561">
        <f t="shared" si="1"/>
        <v>753.18903259692854</v>
      </c>
      <c r="AD42" s="561">
        <f t="shared" si="2"/>
        <v>279.22269658277855</v>
      </c>
      <c r="AE42" s="561">
        <f t="shared" si="3"/>
        <v>473.96633601414999</v>
      </c>
      <c r="AF42" s="562">
        <f>AD42/AC42</f>
        <v>0.37072060863664413</v>
      </c>
      <c r="AG42" s="564" t="str">
        <f>IF(AF42&lt;AG$13,"_","on pienempi kuin vertailulaskelmissa")</f>
        <v>_</v>
      </c>
      <c r="AH42" s="564" t="str">
        <f>IF(AF42&gt;AH$13,"_","on suurempi kuin vertailulaskelmissa")</f>
        <v>on suurempi kuin vertailulaskelmissa</v>
      </c>
      <c r="AI42" s="564">
        <f t="shared" si="4"/>
        <v>0</v>
      </c>
      <c r="AK42" s="45" t="str">
        <f>S42</f>
        <v xml:space="preserve">Tuotantokust. €/liha-kg </v>
      </c>
      <c r="AL42" s="44" t="str">
        <f t="shared" si="5"/>
        <v>on suurempi kuin vertailulaskelmissa</v>
      </c>
      <c r="AN42" s="245"/>
    </row>
    <row r="43" spans="2:40" s="49" customFormat="1" ht="15" thickBot="1" x14ac:dyDescent="0.4">
      <c r="B43" s="542" t="s">
        <v>679</v>
      </c>
      <c r="C43" s="545"/>
      <c r="D43" s="545"/>
      <c r="E43" s="550">
        <f>SUM(O31:O32)</f>
        <v>0</v>
      </c>
      <c r="F43" s="546">
        <f>SUM(Tuotantokustannusvertailu!G208:G209)</f>
        <v>135.04999999999998</v>
      </c>
      <c r="G43" s="547">
        <f>SUM(Tuotantokustannusvertailu!V208:V209)</f>
        <v>253.67499999999998</v>
      </c>
      <c r="H43" s="665"/>
      <c r="I43" s="123"/>
      <c r="K43" s="39"/>
      <c r="L43" s="39"/>
      <c r="M43" s="39"/>
      <c r="N43" s="56" t="s">
        <v>511</v>
      </c>
      <c r="O43" s="392">
        <f>SUM(O6:O7)*Lähtötiedot!Q21</f>
        <v>97.970680601835355</v>
      </c>
      <c r="P43" s="298"/>
      <c r="Q43" s="381">
        <f>IF(O9=0,0,O43/O9)</f>
        <v>5.9957576867708293E-2</v>
      </c>
      <c r="S43" s="61"/>
      <c r="T43" s="384" t="s">
        <v>513</v>
      </c>
      <c r="U43" s="127"/>
      <c r="V43" s="404"/>
      <c r="W43" s="535"/>
      <c r="X43" s="405"/>
      <c r="Y43" s="532"/>
      <c r="Z43" s="406"/>
      <c r="AA43" s="533"/>
      <c r="AC43" s="424"/>
      <c r="AD43" s="424"/>
      <c r="AE43" s="424"/>
      <c r="AF43" s="424"/>
      <c r="AG43" s="564"/>
      <c r="AH43" s="564"/>
      <c r="AI43" s="564"/>
      <c r="AK43" s="45"/>
      <c r="AL43" s="44"/>
      <c r="AN43" s="245"/>
    </row>
    <row r="44" spans="2:40" s="49" customFormat="1" ht="15" thickBot="1" x14ac:dyDescent="0.4">
      <c r="B44" s="551" t="s">
        <v>676</v>
      </c>
      <c r="C44" s="551"/>
      <c r="D44" s="551"/>
      <c r="E44" s="552">
        <f>E42-E43</f>
        <v>365.29904460614011</v>
      </c>
      <c r="F44" s="553">
        <f>F42-F43</f>
        <v>693.22797254811144</v>
      </c>
      <c r="G44" s="554">
        <f>G42-G43</f>
        <v>234.50435788624006</v>
      </c>
      <c r="H44" s="665"/>
      <c r="I44" s="123"/>
      <c r="K44" s="39"/>
      <c r="L44" s="39"/>
      <c r="M44" s="39"/>
      <c r="N44" s="56" t="s">
        <v>525</v>
      </c>
      <c r="O44" s="271">
        <f>O42-O43</f>
        <v>1857.0275134295371</v>
      </c>
      <c r="P44" s="379"/>
      <c r="Q44" s="380"/>
      <c r="S44" s="61"/>
      <c r="T44" s="384" t="s">
        <v>507</v>
      </c>
      <c r="U44" s="127"/>
      <c r="V44" s="404">
        <f>V42-V15+Q14</f>
        <v>534.11125104475718</v>
      </c>
      <c r="W44" s="535"/>
      <c r="X44" s="405"/>
      <c r="Y44" s="532"/>
      <c r="Z44" s="406"/>
      <c r="AA44" s="533"/>
      <c r="AC44" s="424"/>
      <c r="AD44" s="424"/>
      <c r="AE44" s="424"/>
      <c r="AF44" s="424"/>
      <c r="AG44" s="564"/>
      <c r="AH44" s="564"/>
      <c r="AI44" s="564"/>
      <c r="AK44" s="45"/>
      <c r="AL44" s="44"/>
      <c r="AN44" s="245"/>
    </row>
    <row r="45" spans="2:40" s="49" customFormat="1" x14ac:dyDescent="0.35">
      <c r="B45" s="548" t="s">
        <v>680</v>
      </c>
      <c r="C45" s="545"/>
      <c r="D45" s="545"/>
      <c r="E45" s="550">
        <f>SUM(O36:O40)</f>
        <v>686.29723863751224</v>
      </c>
      <c r="F45" s="546">
        <f>SUM(Tuotantokustannusvertailu!G213:G217)</f>
        <v>118.55200000000001</v>
      </c>
      <c r="G45" s="547">
        <f>SUM(Tuotantokustannusvertailu!V213:V217)</f>
        <v>60.116</v>
      </c>
      <c r="H45" s="665"/>
      <c r="I45" s="123"/>
      <c r="K45" s="39"/>
      <c r="L45" s="39"/>
      <c r="M45" s="39"/>
      <c r="N45" s="39"/>
      <c r="O45" s="39"/>
      <c r="P45" s="39"/>
      <c r="Q45" s="39"/>
      <c r="S45" s="61"/>
      <c r="T45" s="37" t="str">
        <f>CONCATENATE('Säilörehun tuotantokustannus'!$N$5," €/kg ka eli ",Q14," €/tuotettu liha-kg")</f>
        <v>0,12 €/kg ka eli 5,473 €/tuotettu liha-kg</v>
      </c>
      <c r="U45" s="37"/>
      <c r="V45" s="386"/>
      <c r="W45" s="37"/>
      <c r="X45" s="64"/>
      <c r="Y45" s="57"/>
      <c r="Z45" s="66"/>
      <c r="AA45" s="58"/>
      <c r="AC45" s="424"/>
      <c r="AD45" s="424"/>
      <c r="AE45" s="424"/>
      <c r="AF45" s="424"/>
      <c r="AG45" s="564"/>
      <c r="AH45" s="564"/>
      <c r="AI45" s="564"/>
      <c r="AK45" s="45"/>
      <c r="AL45" s="44"/>
      <c r="AN45" s="245"/>
    </row>
    <row r="46" spans="2:40" s="49" customFormat="1" x14ac:dyDescent="0.35">
      <c r="B46" s="551" t="s">
        <v>677</v>
      </c>
      <c r="C46" s="551"/>
      <c r="D46" s="551"/>
      <c r="E46" s="552">
        <f>E44-E45</f>
        <v>-320.99819403137212</v>
      </c>
      <c r="F46" s="553">
        <f>F44-F45</f>
        <v>574.67597254811142</v>
      </c>
      <c r="G46" s="554">
        <f>G44-G45</f>
        <v>174.38835788624004</v>
      </c>
      <c r="H46" s="665"/>
      <c r="I46" s="123"/>
      <c r="K46" s="39"/>
      <c r="L46" s="39"/>
      <c r="M46" s="39"/>
      <c r="N46" s="39"/>
      <c r="O46" s="39"/>
      <c r="P46" s="39"/>
      <c r="Q46" s="39"/>
      <c r="S46" s="61"/>
      <c r="T46" s="77"/>
      <c r="U46" s="77"/>
      <c r="V46" s="62"/>
      <c r="W46" s="39"/>
      <c r="X46" s="64"/>
      <c r="Y46" s="57"/>
      <c r="Z46" s="66"/>
      <c r="AA46" s="58"/>
      <c r="AC46" s="424"/>
      <c r="AD46" s="424"/>
      <c r="AE46" s="424"/>
      <c r="AF46" s="424"/>
      <c r="AG46" s="564"/>
      <c r="AH46" s="564"/>
      <c r="AI46" s="564"/>
      <c r="AK46" s="46"/>
      <c r="AL46" s="44"/>
      <c r="AM46" s="80"/>
      <c r="AN46" s="245"/>
    </row>
    <row r="47" spans="2:40" s="49" customFormat="1" x14ac:dyDescent="0.35">
      <c r="R47" s="80"/>
      <c r="AB47" s="80"/>
      <c r="AC47" s="560"/>
      <c r="AD47" s="560"/>
      <c r="AE47" s="560"/>
      <c r="AF47" s="560"/>
      <c r="AG47" s="565"/>
      <c r="AH47" s="565"/>
      <c r="AI47" s="565"/>
      <c r="AJ47" s="80"/>
      <c r="AK47" s="81"/>
    </row>
    <row r="48" spans="2:40" s="49" customFormat="1" x14ac:dyDescent="0.35">
      <c r="B48" s="555"/>
      <c r="C48" s="555"/>
      <c r="D48" s="555"/>
      <c r="E48" s="556"/>
      <c r="F48" s="555"/>
      <c r="G48" s="555"/>
      <c r="H48" s="555"/>
      <c r="I48" s="80"/>
      <c r="K48" s="213"/>
      <c r="L48" s="213"/>
      <c r="M48" s="213"/>
      <c r="N48" s="213"/>
      <c r="O48" s="213"/>
      <c r="P48" s="213"/>
      <c r="Q48" s="213"/>
      <c r="X48" s="81"/>
      <c r="Y48" s="82"/>
      <c r="AC48" s="424"/>
      <c r="AD48" s="424"/>
      <c r="AE48" s="424"/>
      <c r="AF48" s="424"/>
      <c r="AG48" s="564"/>
      <c r="AH48" s="564"/>
      <c r="AI48" s="564"/>
      <c r="AK48" s="81"/>
    </row>
    <row r="49" spans="2:37" s="49" customFormat="1" x14ac:dyDescent="0.35">
      <c r="B49" s="213"/>
      <c r="C49" s="213"/>
      <c r="D49" s="213"/>
      <c r="E49" s="213"/>
      <c r="F49" s="213"/>
      <c r="G49" s="213"/>
      <c r="H49" s="213"/>
      <c r="I49" s="213"/>
      <c r="K49" s="313" t="str">
        <f>T15</f>
        <v xml:space="preserve">   Säilörehu</v>
      </c>
      <c r="L49" s="393">
        <f>V15</f>
        <v>224.55078155217132</v>
      </c>
      <c r="M49" s="213"/>
      <c r="N49" s="213"/>
      <c r="O49" s="213"/>
      <c r="P49" s="213"/>
      <c r="Q49" s="213"/>
      <c r="AC49" s="424"/>
      <c r="AD49" s="424"/>
      <c r="AE49" s="424"/>
      <c r="AF49" s="424"/>
      <c r="AG49" s="564"/>
      <c r="AH49" s="564"/>
      <c r="AI49" s="564"/>
      <c r="AK49" s="81"/>
    </row>
    <row r="50" spans="2:37" s="49" customFormat="1" x14ac:dyDescent="0.35">
      <c r="B50" s="213"/>
      <c r="C50" s="213"/>
      <c r="D50" s="213"/>
      <c r="E50" s="213"/>
      <c r="F50" s="213"/>
      <c r="G50" s="213"/>
      <c r="H50" s="213"/>
      <c r="I50" s="213"/>
      <c r="K50" s="313" t="str">
        <f>T16</f>
        <v xml:space="preserve">   Rehuvilja</v>
      </c>
      <c r="L50" s="393">
        <f>V16</f>
        <v>0</v>
      </c>
      <c r="M50" s="213"/>
      <c r="N50" s="213"/>
      <c r="O50" s="213"/>
      <c r="P50" s="213"/>
      <c r="Q50" s="213"/>
      <c r="AC50" s="424"/>
      <c r="AD50" s="424"/>
      <c r="AE50" s="424"/>
      <c r="AF50" s="424"/>
      <c r="AG50" s="564"/>
      <c r="AH50" s="564"/>
      <c r="AI50" s="564"/>
      <c r="AK50" s="81"/>
    </row>
    <row r="51" spans="2:37" s="49" customFormat="1" x14ac:dyDescent="0.35">
      <c r="B51" s="213"/>
      <c r="C51" s="213"/>
      <c r="D51" s="213"/>
      <c r="E51" s="213"/>
      <c r="F51" s="213"/>
      <c r="G51" s="213"/>
      <c r="H51" s="213"/>
      <c r="I51" s="213"/>
      <c r="K51" s="313" t="str">
        <f>T20</f>
        <v>Ostorehut</v>
      </c>
      <c r="L51" s="393">
        <f>V20</f>
        <v>22.792576420782133</v>
      </c>
      <c r="M51" s="213"/>
      <c r="N51" s="213"/>
      <c r="O51" s="213"/>
      <c r="P51" s="213"/>
      <c r="Q51" s="213"/>
      <c r="S51" s="83"/>
      <c r="T51" s="83"/>
      <c r="U51" s="83"/>
      <c r="V51" s="83"/>
      <c r="W51" s="83"/>
      <c r="X51" s="83"/>
      <c r="AC51" s="424"/>
      <c r="AD51" s="424"/>
      <c r="AE51" s="424"/>
      <c r="AF51" s="424"/>
      <c r="AG51" s="564"/>
      <c r="AH51" s="564"/>
      <c r="AI51" s="564"/>
      <c r="AK51" s="81"/>
    </row>
    <row r="52" spans="2:37" s="49" customFormat="1" x14ac:dyDescent="0.35">
      <c r="B52" s="213"/>
      <c r="C52" s="213"/>
      <c r="D52" s="213"/>
      <c r="E52" s="213"/>
      <c r="F52" s="213"/>
      <c r="G52" s="213"/>
      <c r="H52" s="213"/>
      <c r="I52" s="213"/>
      <c r="K52" s="313" t="str">
        <f>T26</f>
        <v>Eläinten ostot</v>
      </c>
      <c r="L52" s="393">
        <f>V26</f>
        <v>0</v>
      </c>
      <c r="M52" s="213"/>
      <c r="N52" s="213"/>
      <c r="O52" s="213"/>
      <c r="P52" s="213"/>
      <c r="Q52" s="213"/>
      <c r="S52" s="83"/>
      <c r="T52" s="83"/>
      <c r="U52" s="83" t="str">
        <f>V12</f>
        <v>Oma laskelma</v>
      </c>
      <c r="V52" s="83" t="str">
        <f>X12</f>
        <v>Hyvä</v>
      </c>
      <c r="W52" s="83" t="str">
        <f>Z12</f>
        <v>Erinomainen</v>
      </c>
      <c r="X52" s="83"/>
      <c r="AC52" s="424"/>
      <c r="AD52" s="424"/>
      <c r="AE52" s="424"/>
      <c r="AF52" s="424"/>
      <c r="AG52" s="564"/>
      <c r="AH52" s="564"/>
      <c r="AI52" s="564"/>
      <c r="AK52" s="81"/>
    </row>
    <row r="53" spans="2:37" s="49" customFormat="1" x14ac:dyDescent="0.35">
      <c r="B53" s="213"/>
      <c r="C53" s="213"/>
      <c r="D53" s="213"/>
      <c r="E53" s="213"/>
      <c r="F53" s="213"/>
      <c r="G53" s="213"/>
      <c r="H53" s="213"/>
      <c r="I53" s="213"/>
      <c r="K53" s="212" t="s">
        <v>510</v>
      </c>
      <c r="L53" s="393">
        <f>V14-SUM(L49:L52)</f>
        <v>241.44054380520137</v>
      </c>
      <c r="M53" s="213"/>
      <c r="N53" s="213"/>
      <c r="O53" s="213"/>
      <c r="P53" s="213"/>
      <c r="Q53" s="213"/>
      <c r="S53" s="83"/>
      <c r="T53" s="84" t="str">
        <f>S14</f>
        <v>Muuttuvat kustannukset</v>
      </c>
      <c r="U53" s="557">
        <f>V14</f>
        <v>488.78390177815481</v>
      </c>
      <c r="V53" s="557">
        <f>X14</f>
        <v>186.69792046337557</v>
      </c>
      <c r="W53" s="557">
        <f>Z14</f>
        <v>171.71899415834076</v>
      </c>
      <c r="X53" s="83"/>
      <c r="AC53" s="424"/>
      <c r="AD53" s="424"/>
      <c r="AE53" s="424"/>
      <c r="AF53" s="424"/>
      <c r="AG53" s="564"/>
      <c r="AH53" s="564"/>
      <c r="AI53" s="564"/>
      <c r="AK53" s="81"/>
    </row>
    <row r="54" spans="2:37" s="49" customFormat="1" x14ac:dyDescent="0.35">
      <c r="B54" s="213"/>
      <c r="C54" s="213"/>
      <c r="D54" s="213"/>
      <c r="E54" s="213"/>
      <c r="F54" s="213"/>
      <c r="G54" s="213"/>
      <c r="H54" s="213"/>
      <c r="I54" s="213"/>
      <c r="K54" s="313" t="str">
        <f>S30</f>
        <v>Työkustannus</v>
      </c>
      <c r="L54" s="393">
        <f>V30</f>
        <v>0</v>
      </c>
      <c r="M54" s="213"/>
      <c r="N54" s="213"/>
      <c r="O54" s="213"/>
      <c r="P54" s="213"/>
      <c r="Q54" s="213"/>
      <c r="S54" s="83"/>
      <c r="T54" s="84" t="str">
        <f>S30</f>
        <v>Työkustannus</v>
      </c>
      <c r="U54" s="557">
        <f>V30</f>
        <v>0</v>
      </c>
      <c r="V54" s="557">
        <f>X30</f>
        <v>49.271973466003317</v>
      </c>
      <c r="W54" s="557">
        <f>Z30</f>
        <v>187.90740740740742</v>
      </c>
      <c r="X54" s="83"/>
      <c r="AC54" s="424"/>
      <c r="AD54" s="424"/>
      <c r="AE54" s="424"/>
      <c r="AF54" s="424"/>
      <c r="AG54" s="564"/>
      <c r="AH54" s="564"/>
      <c r="AI54" s="564"/>
      <c r="AK54" s="81"/>
    </row>
    <row r="55" spans="2:37" s="49" customFormat="1" x14ac:dyDescent="0.35">
      <c r="B55" s="213"/>
      <c r="C55" s="213"/>
      <c r="D55" s="213"/>
      <c r="E55" s="213"/>
      <c r="F55" s="213"/>
      <c r="G55" s="213"/>
      <c r="H55" s="213"/>
      <c r="I55" s="213"/>
      <c r="K55" s="313" t="str">
        <f>S35</f>
        <v>Kiinteät kustannukset</v>
      </c>
      <c r="L55" s="393">
        <f>V35</f>
        <v>264.40513081877367</v>
      </c>
      <c r="M55" s="213"/>
      <c r="N55" s="213"/>
      <c r="O55" s="213"/>
      <c r="P55" s="213"/>
      <c r="Q55" s="213"/>
      <c r="S55" s="83"/>
      <c r="T55" s="84" t="str">
        <f>S35</f>
        <v>Kiinteät kustannukset</v>
      </c>
      <c r="U55" s="557">
        <f>V35</f>
        <v>264.40513081877367</v>
      </c>
      <c r="V55" s="557">
        <f>X35</f>
        <v>43.252802653399669</v>
      </c>
      <c r="W55" s="557">
        <f>Z35</f>
        <v>44.530370370370377</v>
      </c>
      <c r="X55" s="83"/>
      <c r="AC55" s="424"/>
      <c r="AD55" s="424"/>
      <c r="AE55" s="424"/>
      <c r="AF55" s="424"/>
      <c r="AG55" s="564"/>
      <c r="AH55" s="564"/>
      <c r="AI55" s="564"/>
      <c r="AK55" s="81"/>
    </row>
    <row r="56" spans="2:37" s="49" customFormat="1" x14ac:dyDescent="0.35">
      <c r="B56" s="213"/>
      <c r="C56" s="213"/>
      <c r="D56" s="213"/>
      <c r="E56" s="213"/>
      <c r="F56" s="213"/>
      <c r="G56" s="213"/>
      <c r="H56" s="213"/>
      <c r="I56" s="213"/>
      <c r="K56" s="213"/>
      <c r="L56" s="213"/>
      <c r="M56" s="213"/>
      <c r="N56" s="213"/>
      <c r="O56" s="213"/>
      <c r="P56" s="213"/>
      <c r="Q56" s="213"/>
      <c r="AC56" s="424"/>
      <c r="AD56" s="424"/>
      <c r="AE56" s="424"/>
      <c r="AF56" s="424"/>
      <c r="AG56" s="564"/>
      <c r="AH56" s="564"/>
      <c r="AI56" s="564"/>
      <c r="AK56" s="81"/>
    </row>
    <row r="57" spans="2:37" s="49" customFormat="1" x14ac:dyDescent="0.35">
      <c r="B57" s="213"/>
      <c r="C57" s="213"/>
      <c r="D57" s="213"/>
      <c r="E57" s="213"/>
      <c r="F57" s="213"/>
      <c r="G57" s="213"/>
      <c r="H57" s="213"/>
      <c r="I57" s="213"/>
      <c r="K57" s="213"/>
      <c r="L57" s="213"/>
      <c r="M57" s="213"/>
      <c r="N57" s="213"/>
      <c r="O57" s="213"/>
      <c r="P57" s="213"/>
      <c r="Q57" s="213"/>
      <c r="AC57" s="424"/>
      <c r="AD57" s="424"/>
      <c r="AE57" s="424"/>
      <c r="AF57" s="424"/>
      <c r="AG57" s="564"/>
      <c r="AH57" s="564"/>
      <c r="AI57" s="564"/>
      <c r="AK57" s="81"/>
    </row>
    <row r="58" spans="2:37" s="49" customFormat="1" x14ac:dyDescent="0.35">
      <c r="B58" s="213"/>
      <c r="C58" s="213"/>
      <c r="D58" s="213"/>
      <c r="E58" s="213"/>
      <c r="F58" s="213"/>
      <c r="G58" s="213"/>
      <c r="H58" s="213"/>
      <c r="I58" s="213"/>
      <c r="K58" s="213"/>
      <c r="L58" s="213"/>
      <c r="M58" s="213"/>
      <c r="N58" s="213"/>
      <c r="O58" s="213"/>
      <c r="P58" s="213"/>
      <c r="Q58" s="213"/>
      <c r="AC58" s="424"/>
      <c r="AD58" s="424"/>
      <c r="AE58" s="424"/>
      <c r="AF58" s="424"/>
      <c r="AG58" s="564"/>
      <c r="AH58" s="564"/>
      <c r="AI58" s="564"/>
      <c r="AK58" s="81"/>
    </row>
    <row r="59" spans="2:37" s="49" customFormat="1" x14ac:dyDescent="0.35">
      <c r="B59" s="213"/>
      <c r="C59" s="213"/>
      <c r="D59" s="213"/>
      <c r="E59" s="213"/>
      <c r="F59" s="213"/>
      <c r="G59" s="213"/>
      <c r="H59" s="213"/>
      <c r="I59" s="213"/>
      <c r="K59" s="213"/>
      <c r="L59" s="213"/>
      <c r="M59" s="213"/>
      <c r="N59" s="213"/>
      <c r="O59" s="213"/>
      <c r="P59" s="213"/>
      <c r="Q59" s="213"/>
      <c r="AC59" s="424"/>
      <c r="AD59" s="424"/>
      <c r="AE59" s="424"/>
      <c r="AF59" s="424"/>
      <c r="AG59" s="564"/>
      <c r="AH59" s="564"/>
      <c r="AI59" s="564"/>
      <c r="AK59" s="81"/>
    </row>
    <row r="60" spans="2:37" s="49" customFormat="1" x14ac:dyDescent="0.35">
      <c r="B60" s="213"/>
      <c r="C60" s="213"/>
      <c r="D60" s="213"/>
      <c r="E60" s="213"/>
      <c r="F60" s="213"/>
      <c r="G60" s="213"/>
      <c r="H60" s="213"/>
      <c r="I60" s="213"/>
      <c r="K60" s="213"/>
      <c r="L60" s="213"/>
      <c r="M60" s="213"/>
      <c r="N60" s="213"/>
      <c r="O60" s="213"/>
      <c r="P60" s="213"/>
      <c r="Q60" s="213"/>
      <c r="AC60" s="424"/>
      <c r="AD60" s="424"/>
      <c r="AE60" s="424"/>
      <c r="AF60" s="424"/>
      <c r="AG60" s="564"/>
      <c r="AH60" s="564"/>
      <c r="AI60" s="564"/>
      <c r="AK60" s="81"/>
    </row>
    <row r="61" spans="2:37" s="49" customFormat="1" x14ac:dyDescent="0.35">
      <c r="B61" s="213"/>
      <c r="C61" s="213"/>
      <c r="D61" s="213"/>
      <c r="E61" s="213"/>
      <c r="F61" s="213"/>
      <c r="G61" s="213"/>
      <c r="H61" s="213"/>
      <c r="I61" s="213"/>
      <c r="K61" s="213"/>
      <c r="L61" s="213"/>
      <c r="M61" s="213"/>
      <c r="N61" s="213"/>
      <c r="O61" s="213"/>
      <c r="P61" s="213"/>
      <c r="Q61" s="213"/>
      <c r="AC61" s="424"/>
      <c r="AD61" s="424"/>
      <c r="AE61" s="424"/>
      <c r="AF61" s="424"/>
      <c r="AG61" s="564"/>
      <c r="AH61" s="564"/>
      <c r="AI61" s="564"/>
      <c r="AK61" s="81"/>
    </row>
    <row r="62" spans="2:37" s="49" customFormat="1" x14ac:dyDescent="0.35">
      <c r="B62" s="213"/>
      <c r="C62" s="213"/>
      <c r="D62" s="213"/>
      <c r="E62" s="213"/>
      <c r="F62" s="213"/>
      <c r="G62" s="213"/>
      <c r="H62" s="213"/>
      <c r="I62" s="213"/>
      <c r="K62" s="213"/>
      <c r="L62" s="213"/>
      <c r="M62" s="213"/>
      <c r="N62" s="213"/>
      <c r="O62" s="213"/>
      <c r="P62" s="213"/>
      <c r="Q62" s="213"/>
      <c r="AC62" s="424"/>
      <c r="AD62" s="424"/>
      <c r="AE62" s="424"/>
      <c r="AF62" s="424"/>
      <c r="AG62" s="564"/>
      <c r="AH62" s="564"/>
      <c r="AI62" s="564"/>
      <c r="AK62" s="81"/>
    </row>
    <row r="63" spans="2:37" s="49" customFormat="1" x14ac:dyDescent="0.35">
      <c r="B63" s="213"/>
      <c r="C63" s="213"/>
      <c r="D63" s="213"/>
      <c r="E63" s="213"/>
      <c r="F63" s="213"/>
      <c r="G63" s="213"/>
      <c r="H63" s="213"/>
      <c r="I63" s="213"/>
      <c r="K63" s="213"/>
      <c r="L63" s="213"/>
      <c r="M63" s="213"/>
      <c r="N63" s="213"/>
      <c r="O63" s="213"/>
      <c r="P63" s="213"/>
      <c r="Q63" s="213"/>
      <c r="AC63" s="424"/>
      <c r="AD63" s="424"/>
      <c r="AE63" s="424"/>
      <c r="AF63" s="424"/>
      <c r="AG63" s="564"/>
      <c r="AH63" s="564"/>
      <c r="AI63" s="564"/>
      <c r="AK63" s="81"/>
    </row>
    <row r="64" spans="2:37" s="49" customFormat="1" x14ac:dyDescent="0.35">
      <c r="B64" s="213"/>
      <c r="C64" s="213"/>
      <c r="D64" s="213"/>
      <c r="E64" s="213"/>
      <c r="F64" s="213"/>
      <c r="G64" s="213"/>
      <c r="H64" s="213"/>
      <c r="I64" s="213"/>
      <c r="K64" s="213"/>
      <c r="L64" s="213"/>
      <c r="M64" s="213"/>
      <c r="N64" s="213"/>
      <c r="O64" s="213"/>
      <c r="P64" s="213"/>
      <c r="Q64" s="213"/>
      <c r="AC64" s="424"/>
      <c r="AD64" s="424"/>
      <c r="AE64" s="424"/>
      <c r="AF64" s="424"/>
      <c r="AG64" s="564"/>
      <c r="AH64" s="564"/>
      <c r="AI64" s="564"/>
      <c r="AK64" s="81"/>
    </row>
    <row r="65" spans="2:37" s="49" customFormat="1" x14ac:dyDescent="0.35">
      <c r="B65" s="213"/>
      <c r="C65" s="213"/>
      <c r="D65" s="213"/>
      <c r="E65" s="213"/>
      <c r="F65" s="213"/>
      <c r="G65" s="213"/>
      <c r="H65" s="213"/>
      <c r="I65" s="213"/>
      <c r="K65" s="213"/>
      <c r="L65" s="213"/>
      <c r="M65" s="213"/>
      <c r="N65" s="213"/>
      <c r="O65" s="213"/>
      <c r="P65" s="213"/>
      <c r="Q65" s="213"/>
      <c r="AC65" s="424"/>
      <c r="AD65" s="424"/>
      <c r="AE65" s="424"/>
      <c r="AF65" s="424"/>
      <c r="AG65" s="564"/>
      <c r="AH65" s="564"/>
      <c r="AI65" s="564"/>
      <c r="AK65" s="81"/>
    </row>
    <row r="66" spans="2:37" s="49" customFormat="1" x14ac:dyDescent="0.35">
      <c r="B66" s="213"/>
      <c r="C66" s="213"/>
      <c r="D66" s="213"/>
      <c r="E66" s="213"/>
      <c r="F66" s="213"/>
      <c r="G66" s="213"/>
      <c r="H66" s="213"/>
      <c r="I66" s="213"/>
      <c r="K66" s="213"/>
      <c r="L66" s="213"/>
      <c r="M66" s="213"/>
      <c r="N66" s="213"/>
      <c r="O66" s="213"/>
      <c r="P66" s="213"/>
      <c r="Q66" s="213"/>
      <c r="AC66" s="424"/>
      <c r="AD66" s="424"/>
      <c r="AE66" s="424"/>
      <c r="AF66" s="424"/>
      <c r="AG66" s="564"/>
      <c r="AH66" s="564"/>
      <c r="AI66" s="564"/>
      <c r="AK66" s="81"/>
    </row>
    <row r="67" spans="2:37" s="49" customFormat="1" x14ac:dyDescent="0.35">
      <c r="B67" s="213"/>
      <c r="C67" s="213"/>
      <c r="D67" s="213"/>
      <c r="E67" s="213"/>
      <c r="F67" s="213"/>
      <c r="G67" s="213"/>
      <c r="H67" s="213"/>
      <c r="I67" s="213"/>
      <c r="K67" s="213"/>
      <c r="L67" s="213"/>
      <c r="M67" s="213"/>
      <c r="N67" s="213"/>
      <c r="O67" s="213"/>
      <c r="P67" s="213"/>
      <c r="Q67" s="213"/>
      <c r="AC67" s="424"/>
      <c r="AD67" s="424"/>
      <c r="AE67" s="424"/>
      <c r="AF67" s="424"/>
      <c r="AG67" s="564"/>
      <c r="AH67" s="564"/>
      <c r="AI67" s="564"/>
      <c r="AK67" s="81"/>
    </row>
    <row r="68" spans="2:37" s="49" customFormat="1" x14ac:dyDescent="0.35">
      <c r="AC68" s="424"/>
      <c r="AD68" s="424"/>
      <c r="AE68" s="424"/>
      <c r="AF68" s="424"/>
      <c r="AG68" s="564"/>
      <c r="AH68" s="564"/>
      <c r="AI68" s="564"/>
      <c r="AK68" s="81"/>
    </row>
    <row r="69" spans="2:37" s="49" customFormat="1" x14ac:dyDescent="0.35">
      <c r="AC69" s="424"/>
      <c r="AD69" s="424"/>
      <c r="AE69" s="424"/>
      <c r="AF69" s="424"/>
      <c r="AG69" s="564"/>
      <c r="AH69" s="564"/>
      <c r="AI69" s="564"/>
      <c r="AK69" s="81"/>
    </row>
    <row r="70" spans="2:37" s="49" customFormat="1" x14ac:dyDescent="0.35">
      <c r="AC70" s="424"/>
      <c r="AD70" s="424"/>
      <c r="AE70" s="424"/>
      <c r="AF70" s="424"/>
      <c r="AG70" s="564"/>
      <c r="AH70" s="564"/>
      <c r="AI70" s="564"/>
      <c r="AK70" s="81"/>
    </row>
    <row r="71" spans="2:37" s="49" customFormat="1" x14ac:dyDescent="0.35">
      <c r="AC71" s="424"/>
      <c r="AD71" s="424"/>
      <c r="AE71" s="424"/>
      <c r="AF71" s="424"/>
      <c r="AG71" s="564"/>
      <c r="AH71" s="564"/>
      <c r="AI71" s="564"/>
      <c r="AK71" s="81"/>
    </row>
    <row r="72" spans="2:37" s="49" customFormat="1" x14ac:dyDescent="0.35">
      <c r="AC72" s="424"/>
      <c r="AD72" s="424"/>
      <c r="AE72" s="424"/>
      <c r="AF72" s="424"/>
      <c r="AG72" s="564"/>
      <c r="AH72" s="564"/>
      <c r="AI72" s="564"/>
      <c r="AK72" s="81"/>
    </row>
    <row r="73" spans="2:37" s="49" customFormat="1" x14ac:dyDescent="0.35">
      <c r="AC73" s="424"/>
      <c r="AD73" s="424"/>
      <c r="AE73" s="424"/>
      <c r="AF73" s="424"/>
      <c r="AG73" s="564"/>
      <c r="AH73" s="564"/>
      <c r="AI73" s="564"/>
      <c r="AK73" s="81"/>
    </row>
    <row r="74" spans="2:37" s="49" customFormat="1" x14ac:dyDescent="0.35">
      <c r="AC74" s="424"/>
      <c r="AD74" s="424"/>
      <c r="AE74" s="424"/>
      <c r="AF74" s="424"/>
      <c r="AG74" s="564"/>
      <c r="AH74" s="564"/>
      <c r="AI74" s="564"/>
      <c r="AK74" s="81"/>
    </row>
    <row r="75" spans="2:37" s="49" customFormat="1" x14ac:dyDescent="0.35">
      <c r="AC75" s="424"/>
      <c r="AD75" s="424"/>
      <c r="AE75" s="424"/>
      <c r="AF75" s="424"/>
      <c r="AG75" s="564"/>
      <c r="AH75" s="564"/>
      <c r="AI75" s="564"/>
      <c r="AK75" s="81"/>
    </row>
    <row r="76" spans="2:37" s="49" customFormat="1" x14ac:dyDescent="0.35">
      <c r="AC76" s="424"/>
      <c r="AD76" s="424"/>
      <c r="AE76" s="424"/>
      <c r="AF76" s="424"/>
      <c r="AG76" s="564"/>
      <c r="AH76" s="564"/>
      <c r="AI76" s="564"/>
      <c r="AK76" s="81"/>
    </row>
    <row r="77" spans="2:37" s="49" customFormat="1" x14ac:dyDescent="0.35">
      <c r="AC77" s="424"/>
      <c r="AD77" s="424"/>
      <c r="AE77" s="424"/>
      <c r="AF77" s="424"/>
      <c r="AG77" s="564"/>
      <c r="AH77" s="564"/>
      <c r="AI77" s="564"/>
      <c r="AK77" s="81"/>
    </row>
    <row r="78" spans="2:37" s="49" customFormat="1" x14ac:dyDescent="0.35">
      <c r="W78" s="212"/>
      <c r="X78" s="212"/>
      <c r="Y78" s="212"/>
      <c r="Z78" s="212"/>
      <c r="AA78" s="212"/>
      <c r="AC78" s="424"/>
      <c r="AD78" s="424"/>
      <c r="AE78" s="424"/>
      <c r="AF78" s="424"/>
      <c r="AG78" s="564"/>
      <c r="AH78" s="564"/>
      <c r="AI78" s="564"/>
      <c r="AK78" s="81"/>
    </row>
    <row r="79" spans="2:37" s="49" customFormat="1" x14ac:dyDescent="0.35">
      <c r="W79" s="213"/>
      <c r="X79" s="213"/>
      <c r="Y79" s="213"/>
      <c r="Z79" s="213"/>
      <c r="AA79" s="213"/>
      <c r="AC79" s="424"/>
      <c r="AD79" s="424"/>
      <c r="AE79" s="424"/>
      <c r="AF79" s="424"/>
      <c r="AG79" s="564"/>
      <c r="AH79" s="564"/>
      <c r="AI79" s="564"/>
      <c r="AK79" s="81"/>
    </row>
    <row r="80" spans="2:37" s="49" customFormat="1" x14ac:dyDescent="0.35">
      <c r="W80" s="213"/>
      <c r="X80" s="213"/>
      <c r="Y80" s="213"/>
      <c r="Z80" s="213"/>
      <c r="AA80" s="213"/>
      <c r="AC80" s="424"/>
      <c r="AD80" s="424"/>
      <c r="AE80" s="424"/>
      <c r="AF80" s="424"/>
      <c r="AG80" s="564"/>
      <c r="AH80" s="564"/>
      <c r="AI80" s="564"/>
      <c r="AK80" s="81"/>
    </row>
    <row r="81" spans="23:37" s="49" customFormat="1" x14ac:dyDescent="0.35">
      <c r="W81" s="213"/>
      <c r="X81" s="213"/>
      <c r="Y81" s="213"/>
      <c r="Z81" s="213"/>
      <c r="AA81" s="213"/>
      <c r="AC81" s="424"/>
      <c r="AD81" s="424"/>
      <c r="AE81" s="424"/>
      <c r="AF81" s="424"/>
      <c r="AG81" s="564"/>
      <c r="AH81" s="564"/>
      <c r="AI81" s="564"/>
      <c r="AK81" s="81"/>
    </row>
    <row r="82" spans="23:37" s="49" customFormat="1" x14ac:dyDescent="0.35">
      <c r="W82" s="213"/>
      <c r="X82" s="213"/>
      <c r="Y82" s="213"/>
      <c r="Z82" s="213"/>
      <c r="AA82" s="213"/>
      <c r="AC82" s="424"/>
      <c r="AD82" s="424"/>
      <c r="AE82" s="424"/>
      <c r="AF82" s="424"/>
      <c r="AG82" s="564"/>
      <c r="AH82" s="564"/>
      <c r="AI82" s="564"/>
      <c r="AK82" s="81"/>
    </row>
    <row r="83" spans="23:37" s="49" customFormat="1" x14ac:dyDescent="0.35">
      <c r="W83" s="213"/>
      <c r="X83" s="213"/>
      <c r="Y83" s="213"/>
      <c r="Z83" s="213"/>
      <c r="AA83" s="213"/>
      <c r="AC83" s="424"/>
      <c r="AD83" s="424"/>
      <c r="AE83" s="424"/>
      <c r="AF83" s="424"/>
      <c r="AG83" s="564"/>
      <c r="AH83" s="564"/>
      <c r="AI83" s="564"/>
      <c r="AK83" s="81"/>
    </row>
    <row r="84" spans="23:37" s="49" customFormat="1" x14ac:dyDescent="0.35">
      <c r="AC84" s="424"/>
      <c r="AD84" s="424"/>
      <c r="AE84" s="424"/>
      <c r="AF84" s="424"/>
      <c r="AG84" s="564"/>
      <c r="AH84" s="564"/>
      <c r="AI84" s="564"/>
      <c r="AK84" s="81"/>
    </row>
    <row r="85" spans="23:37" s="49" customFormat="1" x14ac:dyDescent="0.35">
      <c r="AC85" s="424"/>
      <c r="AD85" s="424"/>
      <c r="AE85" s="424"/>
      <c r="AF85" s="424"/>
      <c r="AG85" s="564"/>
      <c r="AH85" s="564"/>
      <c r="AI85" s="564"/>
      <c r="AK85" s="81"/>
    </row>
    <row r="86" spans="23:37" s="49" customFormat="1" x14ac:dyDescent="0.35">
      <c r="AC86" s="424"/>
      <c r="AD86" s="424"/>
      <c r="AE86" s="424"/>
      <c r="AF86" s="424"/>
      <c r="AG86" s="564"/>
      <c r="AH86" s="564"/>
      <c r="AI86" s="564"/>
      <c r="AK86" s="81"/>
    </row>
    <row r="87" spans="23:37" s="49" customFormat="1" x14ac:dyDescent="0.35">
      <c r="AC87" s="424"/>
      <c r="AD87" s="424"/>
      <c r="AE87" s="424"/>
      <c r="AF87" s="424"/>
      <c r="AG87" s="564"/>
      <c r="AH87" s="564"/>
      <c r="AI87" s="564"/>
      <c r="AK87" s="81"/>
    </row>
    <row r="88" spans="23:37" s="49" customFormat="1" x14ac:dyDescent="0.35">
      <c r="AC88" s="424"/>
      <c r="AD88" s="424"/>
      <c r="AE88" s="424"/>
      <c r="AF88" s="424"/>
      <c r="AG88" s="564"/>
      <c r="AH88" s="564"/>
      <c r="AI88" s="564"/>
      <c r="AK88" s="81"/>
    </row>
    <row r="89" spans="23:37" s="49" customFormat="1" x14ac:dyDescent="0.35">
      <c r="AC89" s="424"/>
      <c r="AD89" s="424"/>
      <c r="AE89" s="424"/>
      <c r="AF89" s="424"/>
      <c r="AG89" s="564"/>
      <c r="AH89" s="564"/>
      <c r="AI89" s="564"/>
      <c r="AK89" s="81"/>
    </row>
    <row r="90" spans="23:37" s="49" customFormat="1" x14ac:dyDescent="0.35">
      <c r="AC90" s="424"/>
      <c r="AD90" s="424"/>
      <c r="AE90" s="424"/>
      <c r="AF90" s="424"/>
      <c r="AG90" s="564"/>
      <c r="AH90" s="564"/>
      <c r="AI90" s="564"/>
      <c r="AK90" s="81"/>
    </row>
    <row r="91" spans="23:37" s="49" customFormat="1" x14ac:dyDescent="0.35">
      <c r="AC91" s="424"/>
      <c r="AD91" s="424"/>
      <c r="AE91" s="424"/>
      <c r="AF91" s="424"/>
      <c r="AG91" s="564"/>
      <c r="AH91" s="564"/>
      <c r="AI91" s="564"/>
      <c r="AK91" s="81"/>
    </row>
    <row r="92" spans="23:37" s="49" customFormat="1" x14ac:dyDescent="0.35">
      <c r="AC92" s="424"/>
      <c r="AD92" s="424"/>
      <c r="AE92" s="424"/>
      <c r="AF92" s="424"/>
      <c r="AG92" s="564"/>
      <c r="AH92" s="564"/>
      <c r="AI92" s="564"/>
      <c r="AK92" s="81"/>
    </row>
    <row r="93" spans="23:37" s="49" customFormat="1" x14ac:dyDescent="0.35">
      <c r="AC93" s="424"/>
      <c r="AD93" s="424"/>
      <c r="AE93" s="424"/>
      <c r="AF93" s="424"/>
      <c r="AG93" s="564"/>
      <c r="AH93" s="564"/>
      <c r="AI93" s="564"/>
      <c r="AK93" s="81"/>
    </row>
    <row r="94" spans="23:37" s="49" customFormat="1" x14ac:dyDescent="0.35">
      <c r="AC94" s="424"/>
      <c r="AD94" s="424"/>
      <c r="AE94" s="424"/>
      <c r="AF94" s="424"/>
      <c r="AG94" s="564"/>
      <c r="AH94" s="564"/>
      <c r="AI94" s="564"/>
      <c r="AK94" s="81"/>
    </row>
    <row r="95" spans="23:37" s="49" customFormat="1" x14ac:dyDescent="0.35">
      <c r="AC95" s="424"/>
      <c r="AD95" s="424"/>
      <c r="AE95" s="424"/>
      <c r="AF95" s="424"/>
      <c r="AG95" s="564"/>
      <c r="AH95" s="564"/>
      <c r="AI95" s="564"/>
      <c r="AK95" s="81"/>
    </row>
    <row r="96" spans="23:37" s="49" customFormat="1" x14ac:dyDescent="0.35">
      <c r="AC96" s="424"/>
      <c r="AD96" s="424"/>
      <c r="AE96" s="424"/>
      <c r="AF96" s="424"/>
      <c r="AG96" s="564"/>
      <c r="AH96" s="564"/>
      <c r="AI96" s="564"/>
      <c r="AK96" s="81"/>
    </row>
    <row r="97" spans="29:37" s="49" customFormat="1" x14ac:dyDescent="0.35">
      <c r="AC97" s="424"/>
      <c r="AD97" s="424"/>
      <c r="AE97" s="424"/>
      <c r="AF97" s="424"/>
      <c r="AG97" s="564"/>
      <c r="AH97" s="564"/>
      <c r="AI97" s="564"/>
      <c r="AK97" s="81"/>
    </row>
    <row r="98" spans="29:37" s="49" customFormat="1" x14ac:dyDescent="0.35">
      <c r="AC98" s="424"/>
      <c r="AD98" s="424"/>
      <c r="AE98" s="424"/>
      <c r="AF98" s="424"/>
      <c r="AG98" s="564"/>
      <c r="AH98" s="564"/>
      <c r="AI98" s="564"/>
      <c r="AK98" s="81"/>
    </row>
    <row r="99" spans="29:37" s="49" customFormat="1" x14ac:dyDescent="0.35">
      <c r="AC99" s="424"/>
      <c r="AD99" s="424"/>
      <c r="AE99" s="424"/>
      <c r="AF99" s="424"/>
      <c r="AG99" s="564"/>
      <c r="AH99" s="564"/>
      <c r="AI99" s="564"/>
      <c r="AK99" s="81"/>
    </row>
    <row r="100" spans="29:37" s="49" customFormat="1" x14ac:dyDescent="0.35">
      <c r="AC100" s="424"/>
      <c r="AD100" s="424"/>
      <c r="AE100" s="424"/>
      <c r="AF100" s="424"/>
      <c r="AG100" s="564"/>
      <c r="AH100" s="564"/>
      <c r="AI100" s="564"/>
      <c r="AK100" s="81"/>
    </row>
    <row r="101" spans="29:37" s="49" customFormat="1" x14ac:dyDescent="0.35">
      <c r="AC101" s="424"/>
      <c r="AD101" s="424"/>
      <c r="AE101" s="424"/>
      <c r="AF101" s="424"/>
      <c r="AG101" s="564"/>
      <c r="AH101" s="564"/>
      <c r="AI101" s="564"/>
      <c r="AK101" s="81"/>
    </row>
    <row r="102" spans="29:37" s="49" customFormat="1" x14ac:dyDescent="0.35">
      <c r="AC102" s="424"/>
      <c r="AD102" s="424"/>
      <c r="AE102" s="424"/>
      <c r="AF102" s="424"/>
      <c r="AG102" s="564"/>
      <c r="AH102" s="564"/>
      <c r="AI102" s="564"/>
      <c r="AK102" s="81"/>
    </row>
    <row r="103" spans="29:37" s="49" customFormat="1" x14ac:dyDescent="0.35">
      <c r="AC103" s="424"/>
      <c r="AD103" s="424"/>
      <c r="AE103" s="424"/>
      <c r="AF103" s="424"/>
      <c r="AG103" s="564"/>
      <c r="AH103" s="564"/>
      <c r="AI103" s="564"/>
      <c r="AK103" s="81"/>
    </row>
    <row r="104" spans="29:37" s="49" customFormat="1" x14ac:dyDescent="0.35">
      <c r="AC104" s="424"/>
      <c r="AD104" s="424"/>
      <c r="AE104" s="424"/>
      <c r="AF104" s="424"/>
      <c r="AG104" s="564"/>
      <c r="AH104" s="564"/>
      <c r="AI104" s="564"/>
      <c r="AK104" s="81"/>
    </row>
    <row r="105" spans="29:37" s="49" customFormat="1" x14ac:dyDescent="0.35">
      <c r="AC105" s="424"/>
      <c r="AD105" s="424"/>
      <c r="AE105" s="424"/>
      <c r="AF105" s="424"/>
      <c r="AG105" s="564"/>
      <c r="AH105" s="564"/>
      <c r="AI105" s="564"/>
      <c r="AK105" s="81"/>
    </row>
    <row r="106" spans="29:37" s="49" customFormat="1" x14ac:dyDescent="0.35">
      <c r="AC106" s="424"/>
      <c r="AD106" s="424"/>
      <c r="AE106" s="424"/>
      <c r="AF106" s="424"/>
      <c r="AG106" s="564"/>
      <c r="AH106" s="564"/>
      <c r="AI106" s="564"/>
      <c r="AK106" s="81"/>
    </row>
    <row r="107" spans="29:37" s="49" customFormat="1" x14ac:dyDescent="0.35">
      <c r="AC107" s="424"/>
      <c r="AD107" s="424"/>
      <c r="AE107" s="424"/>
      <c r="AF107" s="424"/>
      <c r="AG107" s="564"/>
      <c r="AH107" s="564"/>
      <c r="AI107" s="564"/>
      <c r="AK107" s="81"/>
    </row>
    <row r="108" spans="29:37" s="49" customFormat="1" x14ac:dyDescent="0.35">
      <c r="AC108" s="424"/>
      <c r="AD108" s="424"/>
      <c r="AE108" s="424"/>
      <c r="AF108" s="424"/>
      <c r="AG108" s="564"/>
      <c r="AH108" s="564"/>
      <c r="AI108" s="564"/>
      <c r="AK108" s="81"/>
    </row>
    <row r="109" spans="29:37" s="49" customFormat="1" x14ac:dyDescent="0.35">
      <c r="AC109" s="424"/>
      <c r="AD109" s="424"/>
      <c r="AE109" s="424"/>
      <c r="AF109" s="424"/>
      <c r="AG109" s="564"/>
      <c r="AH109" s="564"/>
      <c r="AI109" s="564"/>
      <c r="AK109" s="81"/>
    </row>
    <row r="110" spans="29:37" s="49" customFormat="1" x14ac:dyDescent="0.35">
      <c r="AC110" s="424"/>
      <c r="AD110" s="424"/>
      <c r="AE110" s="424"/>
      <c r="AF110" s="424"/>
      <c r="AG110" s="564"/>
      <c r="AH110" s="564"/>
      <c r="AI110" s="564"/>
      <c r="AK110" s="81"/>
    </row>
    <row r="111" spans="29:37" s="49" customFormat="1" x14ac:dyDescent="0.35">
      <c r="AC111" s="424"/>
      <c r="AD111" s="424"/>
      <c r="AE111" s="424"/>
      <c r="AF111" s="424"/>
      <c r="AG111" s="564"/>
      <c r="AH111" s="564"/>
      <c r="AI111" s="564"/>
      <c r="AK111" s="81"/>
    </row>
    <row r="112" spans="29:37" s="49" customFormat="1" x14ac:dyDescent="0.35">
      <c r="AC112" s="424"/>
      <c r="AD112" s="424"/>
      <c r="AE112" s="424"/>
      <c r="AF112" s="424"/>
      <c r="AG112" s="564"/>
      <c r="AH112" s="564"/>
      <c r="AI112" s="564"/>
      <c r="AK112" s="81"/>
    </row>
    <row r="113" spans="29:38" s="49" customFormat="1" x14ac:dyDescent="0.35">
      <c r="AC113" s="424"/>
      <c r="AD113" s="424"/>
      <c r="AE113" s="424"/>
      <c r="AF113" s="424"/>
      <c r="AG113" s="564"/>
      <c r="AH113" s="564"/>
      <c r="AI113" s="564"/>
      <c r="AK113" s="81"/>
    </row>
    <row r="114" spans="29:38" s="49" customFormat="1" x14ac:dyDescent="0.35">
      <c r="AC114" s="424"/>
      <c r="AD114" s="424"/>
      <c r="AE114" s="424"/>
      <c r="AF114" s="424"/>
      <c r="AG114" s="564"/>
      <c r="AH114" s="564"/>
      <c r="AI114" s="564"/>
      <c r="AK114" s="81"/>
    </row>
    <row r="115" spans="29:38" s="49" customFormat="1" x14ac:dyDescent="0.35">
      <c r="AC115" s="424"/>
      <c r="AD115" s="424"/>
      <c r="AE115" s="424"/>
      <c r="AF115" s="424"/>
      <c r="AG115" s="564"/>
      <c r="AH115" s="564"/>
      <c r="AI115" s="564"/>
      <c r="AK115" s="81"/>
    </row>
    <row r="116" spans="29:38" s="49" customFormat="1" x14ac:dyDescent="0.35">
      <c r="AC116" s="424"/>
      <c r="AD116" s="424"/>
      <c r="AE116" s="424"/>
      <c r="AF116" s="424"/>
      <c r="AG116" s="564"/>
      <c r="AH116" s="564"/>
      <c r="AI116" s="564"/>
      <c r="AK116" s="81"/>
    </row>
    <row r="117" spans="29:38" s="49" customFormat="1" x14ac:dyDescent="0.35">
      <c r="AC117" s="424"/>
      <c r="AD117" s="424"/>
      <c r="AE117" s="424"/>
      <c r="AF117" s="424"/>
      <c r="AG117" s="564"/>
      <c r="AH117" s="564"/>
      <c r="AI117" s="564"/>
      <c r="AK117" s="81"/>
    </row>
    <row r="118" spans="29:38" s="49" customFormat="1" x14ac:dyDescent="0.35">
      <c r="AC118" s="424"/>
      <c r="AD118" s="424"/>
      <c r="AE118" s="424"/>
      <c r="AF118" s="424"/>
      <c r="AG118" s="564"/>
      <c r="AH118" s="564"/>
      <c r="AI118" s="564"/>
      <c r="AK118" s="81"/>
    </row>
    <row r="119" spans="29:38" s="49" customFormat="1" x14ac:dyDescent="0.35">
      <c r="AC119" s="424"/>
      <c r="AD119" s="424"/>
      <c r="AE119" s="424"/>
      <c r="AF119" s="424"/>
      <c r="AG119" s="564"/>
      <c r="AH119" s="564"/>
      <c r="AI119" s="564"/>
      <c r="AK119" s="81"/>
    </row>
    <row r="120" spans="29:38" s="49" customFormat="1" x14ac:dyDescent="0.35">
      <c r="AC120" s="424"/>
      <c r="AD120" s="424"/>
      <c r="AE120" s="424"/>
      <c r="AF120" s="424"/>
      <c r="AG120" s="564"/>
      <c r="AH120" s="564"/>
      <c r="AI120" s="564"/>
      <c r="AK120" s="81"/>
    </row>
    <row r="121" spans="29:38" s="49" customFormat="1" x14ac:dyDescent="0.35">
      <c r="AC121" s="424"/>
      <c r="AD121" s="424"/>
      <c r="AE121" s="424"/>
      <c r="AF121" s="424"/>
      <c r="AG121" s="564"/>
      <c r="AH121" s="564"/>
      <c r="AI121" s="564"/>
      <c r="AK121" s="81"/>
    </row>
    <row r="122" spans="29:38" s="49" customFormat="1" x14ac:dyDescent="0.35">
      <c r="AC122" s="424"/>
      <c r="AD122" s="424"/>
      <c r="AE122" s="424"/>
      <c r="AF122" s="424"/>
      <c r="AG122" s="564"/>
      <c r="AH122" s="564"/>
      <c r="AI122" s="564"/>
      <c r="AK122" s="81"/>
    </row>
    <row r="123" spans="29:38" s="49" customFormat="1" x14ac:dyDescent="0.35">
      <c r="AC123" s="424"/>
      <c r="AD123" s="424"/>
      <c r="AE123" s="424"/>
      <c r="AF123" s="424"/>
      <c r="AG123" s="564"/>
      <c r="AH123" s="564"/>
      <c r="AI123" s="564"/>
      <c r="AK123" s="46"/>
      <c r="AL123" s="44"/>
    </row>
    <row r="124" spans="29:38" s="49" customFormat="1" x14ac:dyDescent="0.35">
      <c r="AC124" s="424"/>
      <c r="AD124" s="424"/>
      <c r="AE124" s="424"/>
      <c r="AF124" s="424"/>
      <c r="AG124" s="564"/>
      <c r="AH124" s="564"/>
      <c r="AI124" s="564"/>
      <c r="AK124" s="46"/>
      <c r="AL124" s="44"/>
    </row>
    <row r="125" spans="29:38" s="49" customFormat="1" x14ac:dyDescent="0.35">
      <c r="AC125" s="424"/>
      <c r="AD125" s="424"/>
      <c r="AE125" s="424"/>
      <c r="AF125" s="424"/>
      <c r="AG125" s="564"/>
      <c r="AH125" s="564"/>
      <c r="AI125" s="564"/>
      <c r="AK125" s="46"/>
      <c r="AL125" s="44"/>
    </row>
    <row r="126" spans="29:38" s="49" customFormat="1" x14ac:dyDescent="0.35">
      <c r="AC126" s="424"/>
      <c r="AD126" s="424"/>
      <c r="AE126" s="424"/>
      <c r="AF126" s="424"/>
      <c r="AG126" s="564"/>
      <c r="AH126" s="564"/>
      <c r="AI126" s="564"/>
      <c r="AK126" s="46"/>
      <c r="AL126" s="44"/>
    </row>
    <row r="127" spans="29:38" s="49" customFormat="1" x14ac:dyDescent="0.35">
      <c r="AC127" s="424"/>
      <c r="AD127" s="424"/>
      <c r="AE127" s="424"/>
      <c r="AF127" s="424"/>
      <c r="AG127" s="564"/>
      <c r="AH127" s="564"/>
      <c r="AI127" s="564"/>
      <c r="AK127" s="46"/>
      <c r="AL127" s="44"/>
    </row>
    <row r="128" spans="29:38" s="49" customFormat="1" x14ac:dyDescent="0.35">
      <c r="AC128" s="424"/>
      <c r="AD128" s="424"/>
      <c r="AE128" s="424"/>
      <c r="AF128" s="424"/>
      <c r="AG128" s="564"/>
      <c r="AH128" s="564"/>
      <c r="AI128" s="564"/>
      <c r="AK128" s="46"/>
      <c r="AL128" s="44"/>
    </row>
    <row r="129" spans="2:40" s="49" customFormat="1" x14ac:dyDescent="0.35">
      <c r="AC129" s="424"/>
      <c r="AD129" s="424"/>
      <c r="AE129" s="424"/>
      <c r="AF129" s="424"/>
      <c r="AG129" s="564"/>
      <c r="AH129" s="564"/>
      <c r="AI129" s="564"/>
      <c r="AK129" s="46"/>
      <c r="AL129" s="44"/>
    </row>
    <row r="130" spans="2:40" s="49" customFormat="1" x14ac:dyDescent="0.35">
      <c r="AC130" s="424"/>
      <c r="AD130" s="424"/>
      <c r="AE130" s="424"/>
      <c r="AF130" s="424"/>
      <c r="AG130" s="564"/>
      <c r="AH130" s="564"/>
      <c r="AI130" s="564"/>
      <c r="AK130" s="46"/>
      <c r="AL130" s="44"/>
    </row>
    <row r="131" spans="2:40" x14ac:dyDescent="0.35">
      <c r="B131" s="49"/>
      <c r="C131" s="49"/>
      <c r="D131" s="49"/>
      <c r="E131" s="49"/>
      <c r="F131" s="49"/>
      <c r="G131" s="49"/>
      <c r="H131" s="49"/>
      <c r="I131" s="49"/>
      <c r="K131" s="49"/>
      <c r="L131" s="49"/>
      <c r="M131" s="49"/>
      <c r="N131" s="49"/>
      <c r="O131" s="49"/>
      <c r="P131" s="49"/>
      <c r="Q131" s="49"/>
      <c r="S131" s="49"/>
      <c r="T131" s="49"/>
      <c r="U131" s="49"/>
      <c r="V131" s="49"/>
      <c r="W131" s="49"/>
      <c r="X131" s="49"/>
      <c r="Y131" s="49"/>
      <c r="Z131" s="49"/>
      <c r="AA131" s="49"/>
      <c r="AN131" s="49"/>
    </row>
    <row r="132" spans="2:40" x14ac:dyDescent="0.35">
      <c r="B132" s="49"/>
      <c r="C132" s="49"/>
      <c r="D132" s="49"/>
      <c r="E132" s="49"/>
      <c r="F132" s="49"/>
      <c r="G132" s="49"/>
      <c r="H132" s="49"/>
      <c r="I132" s="49"/>
      <c r="K132" s="49"/>
      <c r="L132" s="49"/>
      <c r="M132" s="49"/>
      <c r="N132" s="49"/>
      <c r="O132" s="49"/>
      <c r="P132" s="49"/>
      <c r="Q132" s="49"/>
      <c r="S132" s="49"/>
      <c r="T132" s="49"/>
      <c r="U132" s="49"/>
      <c r="V132" s="49"/>
      <c r="W132" s="49"/>
      <c r="X132" s="49"/>
      <c r="Y132" s="49"/>
      <c r="Z132" s="49"/>
      <c r="AA132" s="49"/>
    </row>
    <row r="133" spans="2:40" x14ac:dyDescent="0.35">
      <c r="B133" s="49"/>
      <c r="C133" s="49"/>
      <c r="D133" s="49"/>
      <c r="E133" s="49"/>
      <c r="F133" s="49"/>
      <c r="G133" s="49"/>
      <c r="H133" s="49"/>
      <c r="I133" s="49"/>
    </row>
  </sheetData>
  <sheetProtection algorithmName="SHA-512" hashValue="r7MzQJZVvDU7V9WCddRVqNODjNFRwEXrxTROK59bruDnq/UJwG/IvFY2DxNr2LGqumnBPQB04tITVImie7jqWA==" saltValue="WUUjkA5zFlPRtxoMiBn1Eg==" spinCount="100000" sheet="1" objects="1" scenarios="1"/>
  <mergeCells count="14">
    <mergeCell ref="K24:L24"/>
    <mergeCell ref="K25:L25"/>
    <mergeCell ref="K26:L26"/>
    <mergeCell ref="C9:D9"/>
    <mergeCell ref="C10:D10"/>
    <mergeCell ref="C11:D11"/>
    <mergeCell ref="K21:L21"/>
    <mergeCell ref="K22:L22"/>
    <mergeCell ref="K23:L23"/>
    <mergeCell ref="C8:D8"/>
    <mergeCell ref="AA3:AA6"/>
    <mergeCell ref="C5:D5"/>
    <mergeCell ref="C6:D6"/>
    <mergeCell ref="C7:D7"/>
  </mergeCells>
  <conditionalFormatting sqref="H5:H11">
    <cfRule type="dataBar" priority="235">
      <dataBar>
        <cfvo type="min"/>
        <cfvo type="max"/>
        <color rgb="FF63C384"/>
      </dataBar>
      <extLst>
        <ext xmlns:x14="http://schemas.microsoft.com/office/spreadsheetml/2009/9/main" uri="{B025F937-C7B1-47D3-B67F-A62EFF666E3E}">
          <x14:id>{E77252BF-85C0-4D26-8117-4E2D11439AE4}</x14:id>
        </ext>
      </extLst>
    </cfRule>
  </conditionalFormatting>
  <conditionalFormatting sqref="A1:AB2 A68:AB68 A4:R4 P5:R10 A6:N10 P12:AB12 A5:M5 P15:U37 P14 R14:U14 M40:N40 P39:U40 P38 R38:U38 P13:U13 W13:AB13 AB14:AB44 J41:U42 J39:L39 J40:K40 A39:A67 J45:AB67 A78:AB1048576 AM78:XFD1048576 AM12:XFD68 AM1:XFD2 A3 R3 A19:N34 A14 J14:L14 AO3:XFD11 A12:N12 A11:J11 A38:L38 N36:N39 A15:L18 A13:L13 N13:N18 J44:U44 J43:P43 R43:U43 A35:J37 M35:N35">
    <cfRule type="cellIs" dxfId="494" priority="182" operator="lessThan">
      <formula>0</formula>
    </cfRule>
  </conditionalFormatting>
  <conditionalFormatting sqref="V9:AB10 AB3:AB8 V6:AA7 AM9:AN10">
    <cfRule type="cellIs" dxfId="493" priority="181" operator="lessThan">
      <formula>0</formula>
    </cfRule>
  </conditionalFormatting>
  <conditionalFormatting sqref="S3 U3:AA3 V4:AA5 V8:AA8">
    <cfRule type="cellIs" dxfId="492" priority="180" operator="lessThan">
      <formula>0</formula>
    </cfRule>
  </conditionalFormatting>
  <conditionalFormatting sqref="AM3:AN8">
    <cfRule type="cellIs" dxfId="491" priority="178" operator="lessThan">
      <formula>0</formula>
    </cfRule>
  </conditionalFormatting>
  <conditionalFormatting sqref="O5:O10 O20:O26 O31:O34 O36:O40 O12 O29">
    <cfRule type="cellIs" dxfId="490" priority="177" operator="lessThan">
      <formula>0</formula>
    </cfRule>
  </conditionalFormatting>
  <conditionalFormatting sqref="N5">
    <cfRule type="cellIs" dxfId="489" priority="176" operator="lessThan">
      <formula>0</formula>
    </cfRule>
  </conditionalFormatting>
  <conditionalFormatting sqref="O13">
    <cfRule type="cellIs" dxfId="488" priority="175" operator="lessThan">
      <formula>0</formula>
    </cfRule>
  </conditionalFormatting>
  <conditionalFormatting sqref="O19">
    <cfRule type="cellIs" dxfId="487" priority="174" operator="lessThan">
      <formula>0</formula>
    </cfRule>
  </conditionalFormatting>
  <conditionalFormatting sqref="O30">
    <cfRule type="cellIs" dxfId="486" priority="173" operator="lessThan">
      <formula>0</formula>
    </cfRule>
  </conditionalFormatting>
  <conditionalFormatting sqref="O35">
    <cfRule type="cellIs" dxfId="485" priority="172" operator="lessThan">
      <formula>0</formula>
    </cfRule>
  </conditionalFormatting>
  <conditionalFormatting sqref="Q14">
    <cfRule type="cellIs" dxfId="484" priority="171" operator="lessThan">
      <formula>0</formula>
    </cfRule>
  </conditionalFormatting>
  <conditionalFormatting sqref="L40">
    <cfRule type="cellIs" dxfId="483" priority="170" operator="lessThan">
      <formula>0</formula>
    </cfRule>
  </conditionalFormatting>
  <conditionalFormatting sqref="Q38">
    <cfRule type="cellIs" dxfId="482" priority="169" operator="lessThan">
      <formula>0</formula>
    </cfRule>
  </conditionalFormatting>
  <conditionalFormatting sqref="M38:M39">
    <cfRule type="cellIs" dxfId="481" priority="168" operator="lessThan">
      <formula>0</formula>
    </cfRule>
  </conditionalFormatting>
  <conditionalFormatting sqref="V13">
    <cfRule type="cellIs" dxfId="480" priority="154" operator="lessThan">
      <formula>0</formula>
    </cfRule>
  </conditionalFormatting>
  <conditionalFormatting sqref="W41">
    <cfRule type="top10" dxfId="479" priority="148" rank="4"/>
  </conditionalFormatting>
  <conditionalFormatting sqref="X15:X28 X31:X32 X36:X40">
    <cfRule type="dataBar" priority="147">
      <dataBar>
        <cfvo type="min"/>
        <cfvo type="max"/>
        <color rgb="FF638EC6"/>
      </dataBar>
      <extLst>
        <ext xmlns:x14="http://schemas.microsoft.com/office/spreadsheetml/2009/9/main" uri="{B025F937-C7B1-47D3-B67F-A62EFF666E3E}">
          <x14:id>{BC146FE9-BCA4-4146-BB43-BC70CC168CAC}</x14:id>
        </ext>
      </extLst>
    </cfRule>
  </conditionalFormatting>
  <conditionalFormatting sqref="Y41">
    <cfRule type="top10" dxfId="478" priority="146" rank="4"/>
  </conditionalFormatting>
  <conditionalFormatting sqref="Z15:Z28 Z31:Z32 Z36:Z40">
    <cfRule type="dataBar" priority="139">
      <dataBar>
        <cfvo type="min"/>
        <cfvo type="max"/>
        <color rgb="FF638EC6"/>
      </dataBar>
      <extLst>
        <ext xmlns:x14="http://schemas.microsoft.com/office/spreadsheetml/2009/9/main" uri="{B025F937-C7B1-47D3-B67F-A62EFF666E3E}">
          <x14:id>{3E94E7D6-D0D2-4182-8201-CDA5963C3EBA}</x14:id>
        </ext>
      </extLst>
    </cfRule>
  </conditionalFormatting>
  <conditionalFormatting sqref="AA41">
    <cfRule type="top10" dxfId="477" priority="138" rank="4"/>
  </conditionalFormatting>
  <conditionalFormatting sqref="V41:AA44 X14:X40 Z14:Z40">
    <cfRule type="cellIs" dxfId="476" priority="131" operator="lessThan">
      <formula>0</formula>
    </cfRule>
  </conditionalFormatting>
  <conditionalFormatting sqref="W15:W28">
    <cfRule type="top10" dxfId="475" priority="129" percent="1" bottom="1" rank="10"/>
    <cfRule type="top10" dxfId="474" priority="130" percent="1" rank="10"/>
  </conditionalFormatting>
  <conditionalFormatting sqref="W31:W32">
    <cfRule type="top10" dxfId="473" priority="127" percent="1" bottom="1" rank="10"/>
    <cfRule type="top10" dxfId="472" priority="128" percent="1" rank="10"/>
  </conditionalFormatting>
  <conditionalFormatting sqref="W36:W40">
    <cfRule type="top10" dxfId="471" priority="125" percent="1" bottom="1" rank="10"/>
    <cfRule type="top10" dxfId="470" priority="126" percent="1" rank="10"/>
  </conditionalFormatting>
  <conditionalFormatting sqref="W14:W40">
    <cfRule type="cellIs" dxfId="469" priority="124" operator="lessThan">
      <formula>0</formula>
    </cfRule>
  </conditionalFormatting>
  <conditionalFormatting sqref="V15:V28 V31:V32 V36:V40">
    <cfRule type="dataBar" priority="123">
      <dataBar>
        <cfvo type="min"/>
        <cfvo type="max"/>
        <color rgb="FF638EC6"/>
      </dataBar>
      <extLst>
        <ext xmlns:x14="http://schemas.microsoft.com/office/spreadsheetml/2009/9/main" uri="{B025F937-C7B1-47D3-B67F-A62EFF666E3E}">
          <x14:id>{9B34B469-5EC8-4653-A586-E96F7D7B4384}</x14:id>
        </ext>
      </extLst>
    </cfRule>
  </conditionalFormatting>
  <conditionalFormatting sqref="V14:V40">
    <cfRule type="cellIs" dxfId="468" priority="122" operator="lessThan">
      <formula>0</formula>
    </cfRule>
  </conditionalFormatting>
  <conditionalFormatting sqref="W31:W32">
    <cfRule type="top10" dxfId="467" priority="120" percent="1" bottom="1" rank="10"/>
    <cfRule type="top10" dxfId="466" priority="121" percent="1" rank="10"/>
  </conditionalFormatting>
  <conditionalFormatting sqref="W36:W40">
    <cfRule type="top10" dxfId="465" priority="118" percent="1" bottom="1" rank="10"/>
    <cfRule type="top10" dxfId="464" priority="119" percent="1" rank="10"/>
  </conditionalFormatting>
  <conditionalFormatting sqref="O14:O18">
    <cfRule type="cellIs" dxfId="463" priority="117" operator="lessThan">
      <formula>0</formula>
    </cfRule>
  </conditionalFormatting>
  <conditionalFormatting sqref="F39:I39 B41:I67 E40:I40">
    <cfRule type="cellIs" dxfId="462" priority="116" operator="lessThan">
      <formula>0</formula>
    </cfRule>
  </conditionalFormatting>
  <conditionalFormatting sqref="A69:V74 AB69:AB74 A75:AB77 AM69:XFD77">
    <cfRule type="cellIs" dxfId="461" priority="115" operator="lessThan">
      <formula>0</formula>
    </cfRule>
  </conditionalFormatting>
  <conditionalFormatting sqref="AL29 AL33:AL34 AL41 AL43:AL45">
    <cfRule type="containsText" dxfId="460" priority="111" operator="containsText" text="suurem">
      <formula>NOT(ISERROR(SEARCH("suurem",AL29)))</formula>
    </cfRule>
  </conditionalFormatting>
  <conditionalFormatting sqref="AL29 AL33:AL34 AL41 AL43:AL45">
    <cfRule type="containsText" dxfId="459" priority="110" operator="containsText" text="pienempi">
      <formula>NOT(ISERROR(SEARCH("pienempi",AL29)))</formula>
    </cfRule>
  </conditionalFormatting>
  <conditionalFormatting sqref="AL14:AL42">
    <cfRule type="containsText" dxfId="458" priority="109" operator="containsText" text="suurem">
      <formula>NOT(ISERROR(SEARCH("suurem",AL14)))</formula>
    </cfRule>
  </conditionalFormatting>
  <conditionalFormatting sqref="AL14:AL42">
    <cfRule type="containsText" dxfId="457" priority="108" operator="containsText" text="pienempi">
      <formula>NOT(ISERROR(SEARCH("pienempi",AL14)))</formula>
    </cfRule>
  </conditionalFormatting>
  <conditionalFormatting sqref="AL14:AL42">
    <cfRule type="containsText" dxfId="456" priority="107" operator="containsText" text="pienemmät">
      <formula>NOT(ISERROR(SEARCH("pienemmät",AL14)))</formula>
    </cfRule>
  </conditionalFormatting>
  <conditionalFormatting sqref="AL15:AL24 AL27:AL28">
    <cfRule type="containsText" dxfId="455" priority="106" operator="containsText" text="suurem">
      <formula>NOT(ISERROR(SEARCH("suurem",AL15)))</formula>
    </cfRule>
  </conditionalFormatting>
  <conditionalFormatting sqref="AL15:AL24 AL27:AL28">
    <cfRule type="containsText" dxfId="454" priority="105" operator="containsText" text="pienempi">
      <formula>NOT(ISERROR(SEARCH("pienempi",AL15)))</formula>
    </cfRule>
  </conditionalFormatting>
  <conditionalFormatting sqref="AL15:AL24 AL27:AL28">
    <cfRule type="containsText" dxfId="453" priority="104" operator="containsText" text="pienemmät">
      <formula>NOT(ISERROR(SEARCH("pienemmät",AL15)))</formula>
    </cfRule>
  </conditionalFormatting>
  <conditionalFormatting sqref="AL25">
    <cfRule type="containsText" dxfId="452" priority="103" operator="containsText" text="suurem">
      <formula>NOT(ISERROR(SEARCH("suurem",AL25)))</formula>
    </cfRule>
  </conditionalFormatting>
  <conditionalFormatting sqref="AL25">
    <cfRule type="containsText" dxfId="451" priority="102" operator="containsText" text="pienempi">
      <formula>NOT(ISERROR(SEARCH("pienempi",AL25)))</formula>
    </cfRule>
  </conditionalFormatting>
  <conditionalFormatting sqref="AL25">
    <cfRule type="containsText" dxfId="450" priority="101" operator="containsText" text="pienemmät">
      <formula>NOT(ISERROR(SEARCH("pienemmät",AL25)))</formula>
    </cfRule>
  </conditionalFormatting>
  <conditionalFormatting sqref="AL26">
    <cfRule type="containsText" dxfId="449" priority="100" operator="containsText" text="suurem">
      <formula>NOT(ISERROR(SEARCH("suurem",AL26)))</formula>
    </cfRule>
  </conditionalFormatting>
  <conditionalFormatting sqref="AL26">
    <cfRule type="containsText" dxfId="448" priority="99" operator="containsText" text="pienempi">
      <formula>NOT(ISERROR(SEARCH("pienempi",AL26)))</formula>
    </cfRule>
  </conditionalFormatting>
  <conditionalFormatting sqref="AL26">
    <cfRule type="containsText" dxfId="447" priority="98" operator="containsText" text="pienemmät">
      <formula>NOT(ISERROR(SEARCH("pienemmät",AL26)))</formula>
    </cfRule>
  </conditionalFormatting>
  <conditionalFormatting sqref="AL30:AL32">
    <cfRule type="containsText" dxfId="446" priority="97" operator="containsText" text="suurem">
      <formula>NOT(ISERROR(SEARCH("suurem",AL30)))</formula>
    </cfRule>
  </conditionalFormatting>
  <conditionalFormatting sqref="AL30:AL32">
    <cfRule type="containsText" dxfId="445" priority="96" operator="containsText" text="pienempi">
      <formula>NOT(ISERROR(SEARCH("pienempi",AL30)))</formula>
    </cfRule>
  </conditionalFormatting>
  <conditionalFormatting sqref="AL30:AL32">
    <cfRule type="containsText" dxfId="444" priority="95" operator="containsText" text="pienemmät">
      <formula>NOT(ISERROR(SEARCH("pienemmät",AL30)))</formula>
    </cfRule>
  </conditionalFormatting>
  <conditionalFormatting sqref="AL35:AL37">
    <cfRule type="containsText" dxfId="443" priority="94" operator="containsText" text="suurem">
      <formula>NOT(ISERROR(SEARCH("suurem",AL35)))</formula>
    </cfRule>
  </conditionalFormatting>
  <conditionalFormatting sqref="AL35:AL37">
    <cfRule type="containsText" dxfId="442" priority="93" operator="containsText" text="pienempi">
      <formula>NOT(ISERROR(SEARCH("pienempi",AL35)))</formula>
    </cfRule>
  </conditionalFormatting>
  <conditionalFormatting sqref="AL35:AL37">
    <cfRule type="containsText" dxfId="441" priority="92" operator="containsText" text="pienemmät">
      <formula>NOT(ISERROR(SEARCH("pienemmät",AL35)))</formula>
    </cfRule>
  </conditionalFormatting>
  <conditionalFormatting sqref="AL40">
    <cfRule type="containsText" dxfId="440" priority="91" operator="containsText" text="suurem">
      <formula>NOT(ISERROR(SEARCH("suurem",AL40)))</formula>
    </cfRule>
  </conditionalFormatting>
  <conditionalFormatting sqref="AL40">
    <cfRule type="containsText" dxfId="439" priority="90" operator="containsText" text="pienempi">
      <formula>NOT(ISERROR(SEARCH("pienempi",AL40)))</formula>
    </cfRule>
  </conditionalFormatting>
  <conditionalFormatting sqref="AL40">
    <cfRule type="containsText" dxfId="438" priority="89" operator="containsText" text="pienemmät">
      <formula>NOT(ISERROR(SEARCH("pienemmät",AL40)))</formula>
    </cfRule>
  </conditionalFormatting>
  <conditionalFormatting sqref="AL38:AL39">
    <cfRule type="containsText" dxfId="437" priority="88" operator="containsText" text="suurem">
      <formula>NOT(ISERROR(SEARCH("suurem",AL38)))</formula>
    </cfRule>
  </conditionalFormatting>
  <conditionalFormatting sqref="AL38:AL39">
    <cfRule type="containsText" dxfId="436" priority="87" operator="containsText" text="pienempi">
      <formula>NOT(ISERROR(SEARCH("pienempi",AL38)))</formula>
    </cfRule>
  </conditionalFormatting>
  <conditionalFormatting sqref="AL38:AL39">
    <cfRule type="containsText" dxfId="435" priority="86" operator="containsText" text="pienemmät">
      <formula>NOT(ISERROR(SEARCH("pienemmät",AL38)))</formula>
    </cfRule>
  </conditionalFormatting>
  <conditionalFormatting sqref="AL42">
    <cfRule type="containsText" dxfId="434" priority="85" operator="containsText" text="suurem">
      <formula>NOT(ISERROR(SEARCH("suurem",AL42)))</formula>
    </cfRule>
  </conditionalFormatting>
  <conditionalFormatting sqref="AL42">
    <cfRule type="containsText" dxfId="433" priority="84" operator="containsText" text="pienempi">
      <formula>NOT(ISERROR(SEARCH("pienempi",AL42)))</formula>
    </cfRule>
  </conditionalFormatting>
  <conditionalFormatting sqref="AL42">
    <cfRule type="containsText" dxfId="432" priority="83" operator="containsText" text="pienemmät">
      <formula>NOT(ISERROR(SEARCH("pienemmät",AL42)))</formula>
    </cfRule>
  </conditionalFormatting>
  <conditionalFormatting sqref="AC1:AG10 AJ3:AJ8 AJ1:AL2 AC29:AG29 AC33:AG34 AC30:AF32 AC41:AG41 AC43:AG1048576 AC42:AF42 AJ9:AL10 AC13:AE13 AG13 AC14:AG15 AC35:AF40 AC16:AF28 AJ12:AL1048576 AC12:AG12">
    <cfRule type="cellIs" dxfId="431" priority="82" operator="lessThan">
      <formula>0</formula>
    </cfRule>
  </conditionalFormatting>
  <conditionalFormatting sqref="AK3:AL8">
    <cfRule type="cellIs" dxfId="430" priority="81" operator="lessThan">
      <formula>0</formula>
    </cfRule>
  </conditionalFormatting>
  <conditionalFormatting sqref="AG42">
    <cfRule type="cellIs" dxfId="429" priority="67" operator="lessThan">
      <formula>0</formula>
    </cfRule>
  </conditionalFormatting>
  <conditionalFormatting sqref="AH1:AH10 AH43:AH1048576 AH12">
    <cfRule type="cellIs" dxfId="428" priority="80" operator="lessThan">
      <formula>0</formula>
    </cfRule>
  </conditionalFormatting>
  <conditionalFormatting sqref="AH29 AH33:AH34 AH41 AH14:AH15">
    <cfRule type="cellIs" dxfId="427" priority="79" operator="lessThan">
      <formula>0</formula>
    </cfRule>
  </conditionalFormatting>
  <conditionalFormatting sqref="AH30:AH31">
    <cfRule type="cellIs" dxfId="426" priority="70" operator="lessThan">
      <formula>0</formula>
    </cfRule>
  </conditionalFormatting>
  <conditionalFormatting sqref="AG38:AG39">
    <cfRule type="cellIs" dxfId="425" priority="69" operator="lessThan">
      <formula>0</formula>
    </cfRule>
  </conditionalFormatting>
  <conditionalFormatting sqref="AH38:AH39">
    <cfRule type="cellIs" dxfId="424" priority="68" operator="lessThan">
      <formula>0</formula>
    </cfRule>
  </conditionalFormatting>
  <conditionalFormatting sqref="AH13">
    <cfRule type="cellIs" dxfId="423" priority="78" operator="lessThan">
      <formula>0</formula>
    </cfRule>
  </conditionalFormatting>
  <conditionalFormatting sqref="AG32">
    <cfRule type="cellIs" dxfId="422" priority="77" operator="lessThan">
      <formula>0</formula>
    </cfRule>
  </conditionalFormatting>
  <conditionalFormatting sqref="AH32">
    <cfRule type="cellIs" dxfId="421" priority="76" operator="lessThan">
      <formula>0</formula>
    </cfRule>
  </conditionalFormatting>
  <conditionalFormatting sqref="AG16:AG24">
    <cfRule type="cellIs" dxfId="420" priority="75" operator="lessThan">
      <formula>0</formula>
    </cfRule>
  </conditionalFormatting>
  <conditionalFormatting sqref="AH16:AH24">
    <cfRule type="cellIs" dxfId="419" priority="74" operator="lessThan">
      <formula>0</formula>
    </cfRule>
  </conditionalFormatting>
  <conditionalFormatting sqref="AG27:AG28">
    <cfRule type="cellIs" dxfId="418" priority="73" operator="lessThan">
      <formula>0</formula>
    </cfRule>
  </conditionalFormatting>
  <conditionalFormatting sqref="AH27:AH28">
    <cfRule type="cellIs" dxfId="417" priority="72" operator="lessThan">
      <formula>0</formula>
    </cfRule>
  </conditionalFormatting>
  <conditionalFormatting sqref="AG30:AG31">
    <cfRule type="cellIs" dxfId="416" priority="71" operator="lessThan">
      <formula>0</formula>
    </cfRule>
  </conditionalFormatting>
  <conditionalFormatting sqref="AH42">
    <cfRule type="cellIs" dxfId="415" priority="66" operator="lessThan">
      <formula>0</formula>
    </cfRule>
  </conditionalFormatting>
  <conditionalFormatting sqref="AG25:AG26">
    <cfRule type="cellIs" dxfId="414" priority="65" operator="lessThan">
      <formula>0</formula>
    </cfRule>
  </conditionalFormatting>
  <conditionalFormatting sqref="AH25:AH26">
    <cfRule type="cellIs" dxfId="413" priority="64" operator="lessThan">
      <formula>0</formula>
    </cfRule>
  </conditionalFormatting>
  <conditionalFormatting sqref="AG35:AG37">
    <cfRule type="cellIs" dxfId="412" priority="63" operator="lessThan">
      <formula>0</formula>
    </cfRule>
  </conditionalFormatting>
  <conditionalFormatting sqref="AH35:AH37">
    <cfRule type="cellIs" dxfId="411" priority="62" operator="lessThan">
      <formula>0</formula>
    </cfRule>
  </conditionalFormatting>
  <conditionalFormatting sqref="AG40">
    <cfRule type="cellIs" dxfId="410" priority="61" operator="lessThan">
      <formula>0</formula>
    </cfRule>
  </conditionalFormatting>
  <conditionalFormatting sqref="AH40">
    <cfRule type="cellIs" dxfId="409" priority="60" operator="lessThan">
      <formula>0</formula>
    </cfRule>
  </conditionalFormatting>
  <conditionalFormatting sqref="AI1:AI10 AI14:AI1048576 AI12">
    <cfRule type="cellIs" dxfId="408" priority="59" operator="lessThan">
      <formula>0</formula>
    </cfRule>
  </conditionalFormatting>
  <conditionalFormatting sqref="AI13">
    <cfRule type="cellIs" dxfId="407" priority="58" operator="lessThan">
      <formula>0</formula>
    </cfRule>
  </conditionalFormatting>
  <conditionalFormatting sqref="B39:D40">
    <cfRule type="cellIs" dxfId="406" priority="46" operator="lessThan">
      <formula>0</formula>
    </cfRule>
  </conditionalFormatting>
  <conditionalFormatting sqref="P3">
    <cfRule type="containsText" dxfId="405" priority="57" operator="containsText" text="Tarkista">
      <formula>NOT(ISERROR(SEARCH("Tarkista",P3)))</formula>
    </cfRule>
  </conditionalFormatting>
  <conditionalFormatting sqref="J3:Q3">
    <cfRule type="cellIs" dxfId="404" priority="56" operator="lessThan">
      <formula>0</formula>
    </cfRule>
  </conditionalFormatting>
  <conditionalFormatting sqref="B3:I3">
    <cfRule type="cellIs" dxfId="403" priority="55" operator="lessThan">
      <formula>0</formula>
    </cfRule>
  </conditionalFormatting>
  <conditionalFormatting sqref="B14:H14">
    <cfRule type="cellIs" dxfId="402" priority="54" operator="lessThan">
      <formula>0</formula>
    </cfRule>
  </conditionalFormatting>
  <conditionalFormatting sqref="I14">
    <cfRule type="cellIs" dxfId="401" priority="53" operator="lessThan">
      <formula>0</formula>
    </cfRule>
  </conditionalFormatting>
  <conditionalFormatting sqref="K11:R11 AB11:AG11 AJ11">
    <cfRule type="cellIs" dxfId="400" priority="52" operator="lessThan">
      <formula>0</formula>
    </cfRule>
  </conditionalFormatting>
  <conditionalFormatting sqref="AH11">
    <cfRule type="cellIs" dxfId="399" priority="51" operator="lessThan">
      <formula>0</formula>
    </cfRule>
  </conditionalFormatting>
  <conditionalFormatting sqref="AI11">
    <cfRule type="cellIs" dxfId="398" priority="50" operator="lessThan">
      <formula>0</formula>
    </cfRule>
  </conditionalFormatting>
  <conditionalFormatting sqref="P11">
    <cfRule type="containsText" dxfId="397" priority="49" operator="containsText" text="Tarkista">
      <formula>NOT(ISERROR(SEARCH("Tarkista",P11)))</formula>
    </cfRule>
  </conditionalFormatting>
  <conditionalFormatting sqref="S11:AA11">
    <cfRule type="cellIs" dxfId="396" priority="48" operator="lessThan">
      <formula>0</formula>
    </cfRule>
  </conditionalFormatting>
  <conditionalFormatting sqref="AK11:AN11">
    <cfRule type="cellIs" dxfId="395" priority="47" operator="lessThan">
      <formula>0</formula>
    </cfRule>
  </conditionalFormatting>
  <conditionalFormatting sqref="M36:M37">
    <cfRule type="cellIs" dxfId="394" priority="45" operator="lessThan">
      <formula>0</formula>
    </cfRule>
  </conditionalFormatting>
  <conditionalFormatting sqref="Q43">
    <cfRule type="cellIs" dxfId="393" priority="42" operator="lessThan">
      <formula>0</formula>
    </cfRule>
  </conditionalFormatting>
  <conditionalFormatting sqref="M13:M18">
    <cfRule type="cellIs" dxfId="392" priority="43" operator="lessThan">
      <formula>0</formula>
    </cfRule>
  </conditionalFormatting>
  <conditionalFormatting sqref="Y15:Y28">
    <cfRule type="top10" dxfId="391" priority="40" percent="1" bottom="1" rank="10"/>
    <cfRule type="top10" dxfId="390" priority="41" percent="1" rank="10"/>
  </conditionalFormatting>
  <conditionalFormatting sqref="Y31:Y32">
    <cfRule type="top10" dxfId="389" priority="38" percent="1" bottom="1" rank="10"/>
    <cfRule type="top10" dxfId="388" priority="39" percent="1" rank="10"/>
  </conditionalFormatting>
  <conditionalFormatting sqref="Y36:Y40">
    <cfRule type="top10" dxfId="387" priority="36" percent="1" bottom="1" rank="10"/>
    <cfRule type="top10" dxfId="386" priority="37" percent="1" rank="10"/>
  </conditionalFormatting>
  <conditionalFormatting sqref="Y15:Y29 Y31:Y34 Y36:Y40">
    <cfRule type="cellIs" dxfId="385" priority="35" operator="lessThan">
      <formula>0</formula>
    </cfRule>
  </conditionalFormatting>
  <conditionalFormatting sqref="Y31:Y32">
    <cfRule type="top10" dxfId="384" priority="33" percent="1" bottom="1" rank="10"/>
    <cfRule type="top10" dxfId="383" priority="34" percent="1" rank="10"/>
  </conditionalFormatting>
  <conditionalFormatting sqref="Y36:Y40">
    <cfRule type="top10" dxfId="382" priority="31" percent="1" bottom="1" rank="10"/>
    <cfRule type="top10" dxfId="381" priority="32" percent="1" rank="10"/>
  </conditionalFormatting>
  <conditionalFormatting sqref="Y14">
    <cfRule type="cellIs" dxfId="380" priority="30" operator="lessThan">
      <formula>0</formula>
    </cfRule>
  </conditionalFormatting>
  <conditionalFormatting sqref="Y30">
    <cfRule type="cellIs" dxfId="379" priority="29" operator="lessThan">
      <formula>0</formula>
    </cfRule>
  </conditionalFormatting>
  <conditionalFormatting sqref="Y35">
    <cfRule type="cellIs" dxfId="378" priority="28" operator="lessThan">
      <formula>0</formula>
    </cfRule>
  </conditionalFormatting>
  <conditionalFormatting sqref="AA15:AA28">
    <cfRule type="top10" dxfId="377" priority="26" percent="1" bottom="1" rank="10"/>
    <cfRule type="top10" dxfId="376" priority="27" percent="1" rank="10"/>
  </conditionalFormatting>
  <conditionalFormatting sqref="AA31:AA32">
    <cfRule type="top10" dxfId="375" priority="24" percent="1" bottom="1" rank="10"/>
    <cfRule type="top10" dxfId="374" priority="25" percent="1" rank="10"/>
  </conditionalFormatting>
  <conditionalFormatting sqref="AA36:AA40">
    <cfRule type="top10" dxfId="373" priority="22" percent="1" bottom="1" rank="10"/>
    <cfRule type="top10" dxfId="372" priority="23" percent="1" rank="10"/>
  </conditionalFormatting>
  <conditionalFormatting sqref="AA15:AA29 AA31:AA34 AA36:AA40">
    <cfRule type="cellIs" dxfId="371" priority="21" operator="lessThan">
      <formula>0</formula>
    </cfRule>
  </conditionalFormatting>
  <conditionalFormatting sqref="AA31:AA32">
    <cfRule type="top10" dxfId="370" priority="19" percent="1" bottom="1" rank="10"/>
    <cfRule type="top10" dxfId="369" priority="20" percent="1" rank="10"/>
  </conditionalFormatting>
  <conditionalFormatting sqref="AA36:AA40">
    <cfRule type="top10" dxfId="368" priority="17" percent="1" bottom="1" rank="10"/>
    <cfRule type="top10" dxfId="367" priority="18" percent="1" rank="10"/>
  </conditionalFormatting>
  <conditionalFormatting sqref="AA14">
    <cfRule type="cellIs" dxfId="366" priority="16" operator="lessThan">
      <formula>0</formula>
    </cfRule>
  </conditionalFormatting>
  <conditionalFormatting sqref="AA30">
    <cfRule type="cellIs" dxfId="365" priority="15" operator="lessThan">
      <formula>0</formula>
    </cfRule>
  </conditionalFormatting>
  <conditionalFormatting sqref="AA35">
    <cfRule type="cellIs" dxfId="364" priority="14" operator="lessThan">
      <formula>0</formula>
    </cfRule>
  </conditionalFormatting>
  <conditionalFormatting sqref="O27:O28">
    <cfRule type="cellIs" dxfId="363" priority="13" operator="lessThan">
      <formula>0</formula>
    </cfRule>
  </conditionalFormatting>
  <conditionalFormatting sqref="T8:U8 S6:U7">
    <cfRule type="cellIs" dxfId="362" priority="7" operator="lessThan">
      <formula>0</formula>
    </cfRule>
  </conditionalFormatting>
  <conditionalFormatting sqref="S4:U4 T5:U5">
    <cfRule type="cellIs" dxfId="361" priority="6" operator="lessThan">
      <formula>0</formula>
    </cfRule>
  </conditionalFormatting>
  <conditionalFormatting sqref="S8">
    <cfRule type="cellIs" dxfId="360" priority="5" operator="lessThan">
      <formula>0</formula>
    </cfRule>
  </conditionalFormatting>
  <conditionalFormatting sqref="S9:T9 T10">
    <cfRule type="cellIs" dxfId="359" priority="4" operator="lessThan">
      <formula>0</formula>
    </cfRule>
  </conditionalFormatting>
  <conditionalFormatting sqref="S10 U10">
    <cfRule type="cellIs" dxfId="358" priority="3" operator="lessThan">
      <formula>0</formula>
    </cfRule>
  </conditionalFormatting>
  <conditionalFormatting sqref="K36:L37 K35">
    <cfRule type="cellIs" dxfId="357" priority="2" operator="lessThan">
      <formula>0</formula>
    </cfRule>
  </conditionalFormatting>
  <conditionalFormatting sqref="L35">
    <cfRule type="cellIs" dxfId="356" priority="1" operator="lessThan">
      <formula>0</formula>
    </cfRule>
  </conditionalFormatting>
  <pageMargins left="0.7" right="0.7" top="0.75" bottom="0.75" header="0.3" footer="0.3"/>
  <pageSetup paperSize="9" orientation="portrait" horizontalDpi="300" verticalDpi="300" r:id="rId1"/>
  <drawing r:id="rId2"/>
  <legacyDrawing r:id="rId3"/>
  <extLst>
    <ext xmlns:x14="http://schemas.microsoft.com/office/spreadsheetml/2009/9/main" uri="{78C0D931-6437-407d-A8EE-F0AAD7539E65}">
      <x14:conditionalFormattings>
        <x14:conditionalFormatting xmlns:xm="http://schemas.microsoft.com/office/excel/2006/main">
          <x14:cfRule type="dataBar" id="{E77252BF-85C0-4D26-8117-4E2D11439AE4}">
            <x14:dataBar minLength="0" maxLength="100" border="1" negativeBarBorderColorSameAsPositive="0">
              <x14:cfvo type="autoMin"/>
              <x14:cfvo type="autoMax"/>
              <x14:borderColor rgb="FF63C384"/>
              <x14:negativeFillColor rgb="FFFF0000"/>
              <x14:negativeBorderColor rgb="FFFF0000"/>
              <x14:axisColor rgb="FF000000"/>
            </x14:dataBar>
          </x14:cfRule>
          <xm:sqref>H5:H11</xm:sqref>
        </x14:conditionalFormatting>
        <x14:conditionalFormatting xmlns:xm="http://schemas.microsoft.com/office/excel/2006/main">
          <x14:cfRule type="dataBar" id="{BC146FE9-BCA4-4146-BB43-BC70CC168CAC}">
            <x14:dataBar minLength="0" maxLength="100" border="1" negativeBarBorderColorSameAsPositive="0">
              <x14:cfvo type="autoMin"/>
              <x14:cfvo type="autoMax"/>
              <x14:borderColor rgb="FF638EC6"/>
              <x14:negativeFillColor rgb="FFFF0000"/>
              <x14:negativeBorderColor rgb="FFFF0000"/>
              <x14:axisColor rgb="FF000000"/>
            </x14:dataBar>
          </x14:cfRule>
          <xm:sqref>X15:X28 X31:X32 X36:X40</xm:sqref>
        </x14:conditionalFormatting>
        <x14:conditionalFormatting xmlns:xm="http://schemas.microsoft.com/office/excel/2006/main">
          <x14:cfRule type="dataBar" id="{3E94E7D6-D0D2-4182-8201-CDA5963C3EBA}">
            <x14:dataBar minLength="0" maxLength="100" border="1" negativeBarBorderColorSameAsPositive="0">
              <x14:cfvo type="autoMin"/>
              <x14:cfvo type="autoMax"/>
              <x14:borderColor rgb="FF638EC6"/>
              <x14:negativeFillColor rgb="FFFF0000"/>
              <x14:negativeBorderColor rgb="FFFF0000"/>
              <x14:axisColor rgb="FF000000"/>
            </x14:dataBar>
          </x14:cfRule>
          <xm:sqref>Z15:Z28 Z31:Z32 Z36:Z40</xm:sqref>
        </x14:conditionalFormatting>
        <x14:conditionalFormatting xmlns:xm="http://schemas.microsoft.com/office/excel/2006/main">
          <x14:cfRule type="dataBar" id="{9B34B469-5EC8-4653-A586-E96F7D7B4384}">
            <x14:dataBar minLength="0" maxLength="100" border="1" negativeBarBorderColorSameAsPositive="0">
              <x14:cfvo type="autoMin"/>
              <x14:cfvo type="autoMax"/>
              <x14:borderColor rgb="FF638EC6"/>
              <x14:negativeFillColor rgb="FFFF0000"/>
              <x14:negativeBorderColor rgb="FFFF0000"/>
              <x14:axisColor rgb="FF000000"/>
            </x14:dataBar>
          </x14:cfRule>
          <xm:sqref>V15:V28 V31:V32 V36:V40</xm:sqref>
        </x14:conditionalFormatting>
      </x14:conditionalFormattings>
    </ext>
  </extLs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CCCC"/>
  </sheetPr>
  <dimension ref="A1:BG133"/>
  <sheetViews>
    <sheetView zoomScaleNormal="100" workbookViewId="0">
      <pane ySplit="1" topLeftCell="A2" activePane="bottomLeft" state="frozen"/>
      <selection activeCell="E1" sqref="E1"/>
      <selection pane="bottomLeft" activeCell="E1" sqref="E1"/>
    </sheetView>
  </sheetViews>
  <sheetFormatPr defaultColWidth="9.1796875" defaultRowHeight="14.5" x14ac:dyDescent="0.35"/>
  <cols>
    <col min="1" max="1" width="2.6328125" style="49" customWidth="1"/>
    <col min="2" max="2" width="2.6328125" style="44" customWidth="1"/>
    <col min="3" max="8" width="10.6328125" style="44" customWidth="1"/>
    <col min="9" max="9" width="12.6328125" style="44" customWidth="1"/>
    <col min="10" max="10" width="2.6328125" style="49" customWidth="1"/>
    <col min="11" max="11" width="17.6328125" style="44" customWidth="1"/>
    <col min="12" max="12" width="11.6328125" style="44" customWidth="1"/>
    <col min="13" max="13" width="10.6328125" style="44" customWidth="1"/>
    <col min="14" max="14" width="8.6328125" style="44" customWidth="1"/>
    <col min="15" max="15" width="11.6328125" style="44" customWidth="1"/>
    <col min="16" max="17" width="10.6328125" style="44" customWidth="1"/>
    <col min="18" max="18" width="2.6328125" style="49" customWidth="1"/>
    <col min="19" max="19" width="2.6328125" style="44" customWidth="1"/>
    <col min="20" max="20" width="14.6328125" style="44" customWidth="1"/>
    <col min="21" max="21" width="8.6328125" style="44" customWidth="1"/>
    <col min="22" max="27" width="10.6328125" style="44" customWidth="1"/>
    <col min="28" max="28" width="2.6328125" style="49" customWidth="1"/>
    <col min="29" max="32" width="10.6328125" style="424" hidden="1" customWidth="1"/>
    <col min="33" max="35" width="10.6328125" style="564" hidden="1" customWidth="1"/>
    <col min="36" max="36" width="2.6328125" style="49" customWidth="1"/>
    <col min="37" max="37" width="29.453125" style="46" customWidth="1"/>
    <col min="38" max="38" width="36.6328125" style="44" bestFit="1" customWidth="1"/>
    <col min="39" max="39" width="2.6328125" style="49" customWidth="1"/>
    <col min="40" max="40" width="72" style="44" customWidth="1"/>
    <col min="41" max="49" width="10.6328125" style="49" customWidth="1"/>
    <col min="50" max="59" width="9.1796875" style="49"/>
    <col min="60" max="16384" width="9.1796875" style="44"/>
  </cols>
  <sheetData>
    <row r="1" spans="1:59" s="410" customFormat="1" ht="27" customHeight="1" x14ac:dyDescent="0.35">
      <c r="A1" s="408"/>
      <c r="B1" s="408"/>
      <c r="C1" s="408"/>
      <c r="D1" s="409"/>
      <c r="E1" s="409" t="s">
        <v>527</v>
      </c>
      <c r="F1" s="408"/>
      <c r="G1" s="408"/>
      <c r="H1" s="408"/>
      <c r="I1" s="408"/>
      <c r="J1" s="408"/>
      <c r="K1" s="408" t="str">
        <f>CONCATENATE(Etusivu!$F$10,," ",Etusivu!$G$10,", ",Etusivu!$F$7," ",Etusivu!$G$7)</f>
        <v>Laskelman laatija: Lappari-elinkeino -hanke, Laskelmavuosi: 2021</v>
      </c>
      <c r="L1" s="408"/>
      <c r="M1" s="408"/>
      <c r="N1" s="408"/>
      <c r="O1" s="408"/>
      <c r="P1" s="408"/>
      <c r="Q1" s="411"/>
      <c r="R1" s="408"/>
      <c r="S1" s="408"/>
      <c r="T1" s="408"/>
      <c r="U1" s="408"/>
      <c r="V1" s="408"/>
      <c r="W1" s="408"/>
      <c r="X1" s="408"/>
      <c r="Y1" s="408"/>
      <c r="Z1" s="408"/>
      <c r="AA1" s="408"/>
      <c r="AB1" s="408"/>
      <c r="AC1" s="558"/>
      <c r="AD1" s="558"/>
      <c r="AE1" s="558"/>
      <c r="AF1" s="558"/>
      <c r="AG1" s="563"/>
      <c r="AH1" s="563"/>
      <c r="AI1" s="563"/>
      <c r="AJ1" s="408"/>
      <c r="AK1" s="408"/>
      <c r="AL1" s="408"/>
      <c r="AM1" s="408"/>
      <c r="AN1" s="408"/>
      <c r="AO1" s="408"/>
      <c r="AP1" s="408"/>
      <c r="AQ1" s="408"/>
      <c r="AR1" s="408"/>
      <c r="AS1" s="408"/>
      <c r="AT1" s="408"/>
      <c r="AU1" s="408"/>
      <c r="AV1" s="408"/>
      <c r="AW1" s="408"/>
      <c r="AX1" s="408"/>
      <c r="AY1" s="408"/>
      <c r="AZ1" s="408"/>
      <c r="BA1" s="408"/>
      <c r="BB1" s="408"/>
      <c r="BC1" s="408"/>
      <c r="BD1" s="408"/>
      <c r="BE1" s="408"/>
      <c r="BF1" s="408"/>
      <c r="BG1" s="408"/>
    </row>
    <row r="2" spans="1:59" s="2" customFormat="1" ht="14.25" customHeight="1" x14ac:dyDescent="0.35">
      <c r="A2" s="3"/>
      <c r="B2" s="4"/>
      <c r="C2" s="1"/>
      <c r="D2" s="1"/>
      <c r="E2" s="1"/>
      <c r="F2" s="1"/>
      <c r="G2" s="1"/>
      <c r="H2" s="1"/>
      <c r="I2" s="1"/>
      <c r="J2" s="1"/>
      <c r="K2" s="216"/>
      <c r="L2" s="1"/>
      <c r="M2" s="1"/>
      <c r="N2" s="1"/>
      <c r="O2" s="1"/>
      <c r="P2" s="1"/>
      <c r="Q2" s="1"/>
      <c r="R2" s="1"/>
      <c r="S2" s="1"/>
      <c r="T2" s="1"/>
      <c r="U2" s="1"/>
      <c r="V2" s="1"/>
      <c r="W2" s="1"/>
      <c r="X2" s="1"/>
      <c r="Y2" s="1"/>
      <c r="Z2" s="1"/>
      <c r="AA2" s="1"/>
      <c r="AB2" s="1"/>
      <c r="AC2" s="559"/>
      <c r="AD2" s="559"/>
      <c r="AE2" s="559"/>
      <c r="AF2" s="559"/>
      <c r="AG2" s="564"/>
      <c r="AH2" s="564"/>
      <c r="AI2" s="564"/>
      <c r="AJ2" s="1"/>
      <c r="AK2" s="1"/>
      <c r="AL2" s="1"/>
      <c r="AM2" s="1"/>
      <c r="AN2" s="1"/>
      <c r="AO2" s="1"/>
      <c r="AP2" s="1"/>
      <c r="AQ2" s="1"/>
      <c r="AR2" s="1"/>
      <c r="AS2" s="1"/>
      <c r="AT2" s="1"/>
      <c r="AU2" s="1"/>
      <c r="AV2" s="1"/>
      <c r="AW2" s="1"/>
      <c r="AX2" s="1"/>
      <c r="AY2" s="1"/>
      <c r="AZ2" s="1"/>
      <c r="BA2" s="1"/>
      <c r="BB2" s="1"/>
      <c r="BC2" s="1"/>
      <c r="BD2" s="1"/>
      <c r="BE2" s="1"/>
      <c r="BF2" s="1"/>
      <c r="BG2" s="1"/>
    </row>
    <row r="3" spans="1:59" ht="20" customHeight="1" thickBot="1" x14ac:dyDescent="0.5">
      <c r="B3" s="575" t="s">
        <v>0</v>
      </c>
      <c r="C3" s="575"/>
      <c r="D3" s="575"/>
      <c r="E3" s="575"/>
      <c r="F3" s="575"/>
      <c r="G3" s="575"/>
      <c r="H3" s="575"/>
      <c r="I3" s="575"/>
      <c r="K3" s="575" t="s">
        <v>475</v>
      </c>
      <c r="L3" s="576"/>
      <c r="M3" s="576"/>
      <c r="N3" s="576"/>
      <c r="O3" s="577" t="s">
        <v>528</v>
      </c>
      <c r="P3" s="578">
        <f>IF(E10=0,"Tarkista",E10)</f>
        <v>6</v>
      </c>
      <c r="Q3" s="579" t="s">
        <v>79</v>
      </c>
      <c r="S3" s="39"/>
      <c r="U3" s="39"/>
      <c r="V3" s="39"/>
      <c r="W3" s="39"/>
      <c r="X3" s="39"/>
      <c r="Y3" s="39"/>
      <c r="Z3" s="39"/>
      <c r="AA3" s="876"/>
      <c r="AK3" s="43"/>
      <c r="AL3" s="43"/>
      <c r="AN3" s="43"/>
    </row>
    <row r="4" spans="1:59" ht="22.5" thickTop="1" x14ac:dyDescent="0.35">
      <c r="B4" s="39"/>
      <c r="C4" s="39"/>
      <c r="D4" s="39"/>
      <c r="E4" s="50" t="s">
        <v>84</v>
      </c>
      <c r="F4" s="50" t="s">
        <v>418</v>
      </c>
      <c r="G4" s="50" t="s">
        <v>1</v>
      </c>
      <c r="H4" s="50" t="s">
        <v>406</v>
      </c>
      <c r="I4" s="50" t="s">
        <v>2</v>
      </c>
      <c r="K4" s="51" t="s">
        <v>77</v>
      </c>
      <c r="L4" s="294" t="s">
        <v>281</v>
      </c>
      <c r="M4" s="663" t="s">
        <v>628</v>
      </c>
      <c r="N4" s="401" t="s">
        <v>21</v>
      </c>
      <c r="O4" s="402" t="s">
        <v>82</v>
      </c>
      <c r="P4" s="184" t="s">
        <v>486</v>
      </c>
      <c r="Q4" s="184"/>
      <c r="S4" s="677" t="s">
        <v>663</v>
      </c>
      <c r="T4" s="678"/>
      <c r="U4" s="679"/>
      <c r="V4" s="39"/>
      <c r="W4" s="39"/>
      <c r="X4" s="39"/>
      <c r="Y4" s="39"/>
      <c r="Z4" s="39"/>
      <c r="AA4" s="876"/>
    </row>
    <row r="5" spans="1:59" ht="15" customHeight="1" x14ac:dyDescent="0.35">
      <c r="B5" s="9">
        <v>1</v>
      </c>
      <c r="C5" s="874" t="s">
        <v>770</v>
      </c>
      <c r="D5" s="875"/>
      <c r="E5" s="215">
        <f>'Rehun käyttö, nettosato'!E5</f>
        <v>20</v>
      </c>
      <c r="F5" s="36">
        <f>'Rehun käyttö, nettosato'!F5</f>
        <v>6000</v>
      </c>
      <c r="G5" s="36">
        <f t="shared" ref="G5:G10" si="0">E5*F5</f>
        <v>120000</v>
      </c>
      <c r="H5" s="53">
        <f>IF(E5=0,0,Energiantarve!O11)</f>
        <v>56407.14263249292</v>
      </c>
      <c r="I5" s="53">
        <f>Energiantarve!P11</f>
        <v>1128142.8526498585</v>
      </c>
      <c r="K5" s="14" t="s">
        <v>522</v>
      </c>
      <c r="L5" s="36">
        <f>Lähtötiedot!L10</f>
        <v>9760</v>
      </c>
      <c r="M5" s="36">
        <f>G9</f>
        <v>1952</v>
      </c>
      <c r="N5" s="124">
        <f>IF(M5=0,0,L5/M5)</f>
        <v>5</v>
      </c>
      <c r="O5" s="269">
        <f>IF(P$3="Tarkista",0,M5*N5/P$3)</f>
        <v>1626.6666666666667</v>
      </c>
      <c r="P5" s="184" t="s">
        <v>4</v>
      </c>
      <c r="Q5" s="220">
        <f>O5</f>
        <v>1626.6666666666667</v>
      </c>
      <c r="S5" s="680"/>
      <c r="T5" s="671">
        <f>V42/100</f>
        <v>6.8072758051322548</v>
      </c>
      <c r="U5" s="681" t="s">
        <v>674</v>
      </c>
      <c r="V5" s="39"/>
      <c r="W5" s="39"/>
      <c r="X5" s="39"/>
      <c r="Y5" s="39"/>
      <c r="Z5" s="39"/>
      <c r="AA5" s="876"/>
    </row>
    <row r="6" spans="1:59" x14ac:dyDescent="0.35">
      <c r="B6" s="9">
        <v>2</v>
      </c>
      <c r="C6" s="874" t="s">
        <v>771</v>
      </c>
      <c r="D6" s="875"/>
      <c r="E6" s="215">
        <f>'Rehun käyttö, nettosato'!E6</f>
        <v>4</v>
      </c>
      <c r="F6" s="36">
        <f>'Rehun käyttö, nettosato'!F6</f>
        <v>1</v>
      </c>
      <c r="G6" s="36">
        <f t="shared" si="0"/>
        <v>4</v>
      </c>
      <c r="H6" s="53">
        <f>IF(E6=0,0,Energiantarve!O17/(Energiantarve!I14/365))</f>
        <v>27081.950718685832</v>
      </c>
      <c r="I6" s="53">
        <f>Energiantarve!P17</f>
        <v>216804</v>
      </c>
      <c r="K6" s="14" t="s">
        <v>523</v>
      </c>
      <c r="L6" s="36">
        <f>Lähtötiedot!L11</f>
        <v>3312</v>
      </c>
      <c r="M6" s="36">
        <f>G10</f>
        <v>1104</v>
      </c>
      <c r="N6" s="124">
        <f>IF(M6=0,0,L6/M6)</f>
        <v>3</v>
      </c>
      <c r="O6" s="269">
        <f>IF(P$3="Tarkista",0,M6*N6/P$3)</f>
        <v>552</v>
      </c>
      <c r="P6" s="184" t="s">
        <v>5</v>
      </c>
      <c r="Q6" s="220">
        <f>O6</f>
        <v>552</v>
      </c>
      <c r="S6" s="682" t="s">
        <v>665</v>
      </c>
      <c r="T6" s="672"/>
      <c r="U6" s="683"/>
      <c r="V6" s="39"/>
      <c r="W6" s="39"/>
      <c r="X6" s="39"/>
      <c r="Y6" s="39"/>
      <c r="Z6" s="39"/>
      <c r="AA6" s="876"/>
    </row>
    <row r="7" spans="1:59" ht="15.75" customHeight="1" x14ac:dyDescent="0.35">
      <c r="B7" s="9">
        <v>3</v>
      </c>
      <c r="C7" s="874" t="s">
        <v>3</v>
      </c>
      <c r="D7" s="875"/>
      <c r="E7" s="215">
        <f>'Rehun käyttö, nettosato'!E7</f>
        <v>0</v>
      </c>
      <c r="F7" s="727">
        <f>'Rehun käyttö, nettosato'!F7</f>
        <v>0</v>
      </c>
      <c r="G7" s="36">
        <f t="shared" si="0"/>
        <v>0</v>
      </c>
      <c r="H7" s="53">
        <f>IF(E7=0,0,Energiantarve!O23)</f>
        <v>0</v>
      </c>
      <c r="I7" s="53">
        <f>Energiantarve!P23</f>
        <v>0</v>
      </c>
      <c r="K7" s="301" t="s">
        <v>492</v>
      </c>
      <c r="L7" s="35"/>
      <c r="M7" s="304"/>
      <c r="N7" s="302"/>
      <c r="O7" s="269">
        <f>IF(P$3="Tarkista",0,L7/P$3)</f>
        <v>0</v>
      </c>
      <c r="P7" s="184" t="s">
        <v>489</v>
      </c>
      <c r="Q7" s="220">
        <f>O7</f>
        <v>0</v>
      </c>
      <c r="S7" s="682" t="s">
        <v>664</v>
      </c>
      <c r="T7" s="672"/>
      <c r="U7" s="683"/>
      <c r="V7" s="39"/>
      <c r="W7" s="39"/>
      <c r="X7" s="39"/>
      <c r="Y7" s="39"/>
      <c r="Z7" s="39"/>
      <c r="AA7" s="39"/>
    </row>
    <row r="8" spans="1:59" ht="15.75" customHeight="1" thickBot="1" x14ac:dyDescent="0.4">
      <c r="B8" s="9">
        <v>4</v>
      </c>
      <c r="C8" s="874" t="s">
        <v>771</v>
      </c>
      <c r="D8" s="875"/>
      <c r="E8" s="215">
        <f>'Rehun käyttö, nettosato'!E8</f>
        <v>0</v>
      </c>
      <c r="F8" s="36">
        <f>'Rehun käyttö, nettosato'!F8</f>
        <v>1</v>
      </c>
      <c r="G8" s="36">
        <f t="shared" si="0"/>
        <v>0</v>
      </c>
      <c r="H8" s="53">
        <f>IF(E8=0,0,Energiantarve!O29/(Energiantarve!I26/365))</f>
        <v>0</v>
      </c>
      <c r="I8" s="53">
        <f>Energiantarve!P29</f>
        <v>0</v>
      </c>
      <c r="K8" s="301" t="s">
        <v>524</v>
      </c>
      <c r="L8" s="36">
        <f>Lähtötiedot!P11</f>
        <v>0</v>
      </c>
      <c r="M8" s="305"/>
      <c r="N8" s="303"/>
      <c r="O8" s="269">
        <f>IF(P$3="Tarkista",0,L8/P$3)</f>
        <v>0</v>
      </c>
      <c r="P8" s="184" t="s">
        <v>465</v>
      </c>
      <c r="Q8" s="220">
        <f>O8</f>
        <v>0</v>
      </c>
      <c r="S8" s="682"/>
      <c r="T8" s="673">
        <f>V44/100</f>
        <v>4.8229376586727115</v>
      </c>
      <c r="U8" s="684" t="s">
        <v>674</v>
      </c>
      <c r="V8" s="39"/>
      <c r="W8" s="39"/>
      <c r="X8" s="39"/>
      <c r="Y8" s="39"/>
      <c r="Z8" s="39"/>
      <c r="AA8" s="39"/>
    </row>
    <row r="9" spans="1:59" ht="15" thickBot="1" x14ac:dyDescent="0.4">
      <c r="B9" s="9">
        <v>5</v>
      </c>
      <c r="C9" s="874" t="s">
        <v>4</v>
      </c>
      <c r="D9" s="875"/>
      <c r="E9" s="215">
        <f>'Rehun käyttö, nettosato'!E9</f>
        <v>8</v>
      </c>
      <c r="F9" s="36">
        <f>'Rehun käyttö, nettosato'!F9</f>
        <v>244</v>
      </c>
      <c r="G9" s="36">
        <f t="shared" si="0"/>
        <v>1952</v>
      </c>
      <c r="H9" s="53">
        <f>IF(E9=0,0,Energiantarve!O35/(Energiantarve!K32/365))</f>
        <v>34461.840000000004</v>
      </c>
      <c r="I9" s="53">
        <f>Energiantarve!P35</f>
        <v>498516.48000000004</v>
      </c>
      <c r="K9" s="77" t="s">
        <v>81</v>
      </c>
      <c r="L9" s="39"/>
      <c r="M9" s="37"/>
      <c r="N9" s="39"/>
      <c r="O9" s="271">
        <f>SUM(O5:O8)</f>
        <v>2178.666666666667</v>
      </c>
      <c r="P9" s="257"/>
      <c r="Q9" s="257"/>
      <c r="S9" s="685" t="s">
        <v>682</v>
      </c>
      <c r="T9" s="674"/>
      <c r="U9" s="686"/>
      <c r="V9" s="39"/>
      <c r="W9" s="39"/>
      <c r="X9" s="39"/>
      <c r="Y9" s="39"/>
      <c r="Z9" s="39"/>
      <c r="AA9" s="39"/>
      <c r="AK9" s="56"/>
      <c r="AL9" s="39"/>
      <c r="AN9" s="39"/>
    </row>
    <row r="10" spans="1:59" ht="15" thickBot="1" x14ac:dyDescent="0.4">
      <c r="B10" s="9">
        <v>6</v>
      </c>
      <c r="C10" s="874" t="s">
        <v>5</v>
      </c>
      <c r="D10" s="875"/>
      <c r="E10" s="215">
        <f>'Rehun käyttö, nettosato'!E10</f>
        <v>6</v>
      </c>
      <c r="F10" s="36">
        <f>'Rehun käyttö, nettosato'!F10</f>
        <v>184</v>
      </c>
      <c r="G10" s="36">
        <f t="shared" si="0"/>
        <v>1104</v>
      </c>
      <c r="H10" s="53">
        <f>IF(E10=0,0,Energiantarve!O41/(Energiantarve!K38/365))</f>
        <v>21343.958999999995</v>
      </c>
      <c r="I10" s="728">
        <f>Energiantarve!P41</f>
        <v>263144.69999999995</v>
      </c>
      <c r="K10" s="77"/>
      <c r="L10" s="39"/>
      <c r="M10" s="39"/>
      <c r="N10" s="39"/>
      <c r="O10" s="390"/>
      <c r="P10" s="257"/>
      <c r="Q10" s="257"/>
      <c r="S10" s="687"/>
      <c r="T10" s="688">
        <f>IF(M5+M6=0,0,L8/(M5+M6))</f>
        <v>0</v>
      </c>
      <c r="U10" s="689" t="s">
        <v>674</v>
      </c>
      <c r="V10" s="39"/>
      <c r="W10" s="39"/>
      <c r="X10" s="39"/>
      <c r="Y10" s="39"/>
      <c r="Z10" s="39"/>
      <c r="AA10" s="39"/>
      <c r="AK10" s="56"/>
      <c r="AL10" s="39"/>
      <c r="AN10" s="39"/>
    </row>
    <row r="11" spans="1:59" ht="19.5" thickTop="1" thickBot="1" x14ac:dyDescent="0.5">
      <c r="B11" s="9">
        <v>7</v>
      </c>
      <c r="C11" s="874" t="s">
        <v>403</v>
      </c>
      <c r="D11" s="875"/>
      <c r="E11" s="215">
        <f>'Rehun käyttö, nettosato'!E11</f>
        <v>0</v>
      </c>
      <c r="F11" s="39"/>
      <c r="G11" s="39"/>
      <c r="H11" s="53">
        <f>IF(E11=0,0,Energiantarve!O47)</f>
        <v>0</v>
      </c>
      <c r="I11" s="728">
        <f>Energiantarve!P47</f>
        <v>0</v>
      </c>
      <c r="K11" s="575" t="s">
        <v>34</v>
      </c>
      <c r="L11" s="576"/>
      <c r="M11" s="576"/>
      <c r="N11" s="576"/>
      <c r="O11" s="577"/>
      <c r="P11" s="578"/>
      <c r="Q11" s="579"/>
      <c r="S11" s="569" t="s">
        <v>529</v>
      </c>
      <c r="T11" s="582"/>
      <c r="U11" s="582"/>
      <c r="V11" s="583"/>
      <c r="W11" s="582"/>
      <c r="X11" s="582"/>
      <c r="Y11" s="584"/>
      <c r="Z11" s="569"/>
      <c r="AA11" s="582"/>
      <c r="AK11" s="569" t="s">
        <v>685</v>
      </c>
      <c r="AL11" s="569"/>
      <c r="AN11" s="569" t="s">
        <v>244</v>
      </c>
    </row>
    <row r="12" spans="1:59" ht="16" thickBot="1" x14ac:dyDescent="0.4">
      <c r="B12" s="39"/>
      <c r="C12" s="39"/>
      <c r="D12" s="39"/>
      <c r="E12" s="39"/>
      <c r="F12" s="39"/>
      <c r="G12" s="39"/>
      <c r="H12" s="39"/>
      <c r="I12" s="729">
        <f>SUM(I5:I11)</f>
        <v>2106608.0326498584</v>
      </c>
      <c r="K12" s="51" t="s">
        <v>35</v>
      </c>
      <c r="L12" s="19"/>
      <c r="M12" s="21"/>
      <c r="N12" s="19"/>
      <c r="O12" s="273"/>
      <c r="P12" s="295"/>
      <c r="Q12" s="19"/>
      <c r="S12" s="39"/>
      <c r="T12" s="39"/>
      <c r="U12" s="39"/>
      <c r="V12" s="39" t="s">
        <v>40</v>
      </c>
      <c r="W12" s="39"/>
      <c r="X12" s="57" t="s">
        <v>41</v>
      </c>
      <c r="Y12" s="57"/>
      <c r="Z12" s="58" t="s">
        <v>42</v>
      </c>
      <c r="AA12" s="58"/>
      <c r="AL12" s="97"/>
      <c r="AN12" s="245"/>
    </row>
    <row r="13" spans="1:59" ht="22" x14ac:dyDescent="0.35">
      <c r="B13" s="39"/>
      <c r="C13" s="39"/>
      <c r="D13" s="39"/>
      <c r="E13" s="39"/>
      <c r="F13" s="39"/>
      <c r="G13" s="39"/>
      <c r="H13" s="39"/>
      <c r="I13" s="730"/>
      <c r="K13" s="44" t="s">
        <v>36</v>
      </c>
      <c r="L13" s="316" t="s">
        <v>37</v>
      </c>
      <c r="M13" s="122" t="s">
        <v>25</v>
      </c>
      <c r="N13" s="316" t="s">
        <v>38</v>
      </c>
      <c r="O13" s="402" t="s">
        <v>82</v>
      </c>
      <c r="P13" s="296" t="s">
        <v>505</v>
      </c>
      <c r="Q13" s="19"/>
      <c r="S13" s="39"/>
      <c r="T13" s="39"/>
      <c r="U13" s="39"/>
      <c r="V13" s="663" t="s">
        <v>505</v>
      </c>
      <c r="W13" s="50" t="s">
        <v>43</v>
      </c>
      <c r="X13" s="59" t="s">
        <v>505</v>
      </c>
      <c r="Y13" s="59" t="s">
        <v>43</v>
      </c>
      <c r="Z13" s="60" t="s">
        <v>505</v>
      </c>
      <c r="AA13" s="60" t="s">
        <v>43</v>
      </c>
      <c r="AF13" s="566">
        <v>0.2</v>
      </c>
      <c r="AG13" s="567">
        <f>1+AF13</f>
        <v>1.2</v>
      </c>
      <c r="AH13" s="567">
        <f>1-AF13</f>
        <v>0.8</v>
      </c>
      <c r="AI13" s="567">
        <v>0.3</v>
      </c>
      <c r="AK13" s="46" t="str">
        <f>V13</f>
        <v>snt/liha-kg</v>
      </c>
      <c r="AN13" s="245"/>
    </row>
    <row r="14" spans="1:59" ht="20" customHeight="1" x14ac:dyDescent="0.45">
      <c r="B14" s="726" t="s">
        <v>460</v>
      </c>
      <c r="C14" s="574"/>
      <c r="D14" s="574"/>
      <c r="E14" s="574"/>
      <c r="F14" s="574"/>
      <c r="G14" s="574"/>
      <c r="H14" s="574"/>
      <c r="I14" s="574"/>
      <c r="K14" s="14" t="s">
        <v>476</v>
      </c>
      <c r="L14" s="36">
        <f>G17</f>
        <v>164000</v>
      </c>
      <c r="M14" s="293">
        <f>'Rehujen tuotantokustannukset'!J5</f>
        <v>0.12014544186297008</v>
      </c>
      <c r="N14" s="23">
        <f>Lähtötiedot!Q22</f>
        <v>0.12491393554072597</v>
      </c>
      <c r="O14" s="269">
        <f>IF(P$3="Tarkista",0,L14*M14*N14/P$3)</f>
        <v>410.2142927971376</v>
      </c>
      <c r="P14" s="387">
        <f>'Säilörehun tuotantokustannus'!N5</f>
        <v>0.12</v>
      </c>
      <c r="Q14" s="387">
        <f>IF(P$3="Tarkista",0,ROUNDUP((L14*P14*N14/P$3)*(1-Q43)/100,3))</f>
        <v>3.7159999999999997</v>
      </c>
      <c r="S14" s="61" t="s">
        <v>35</v>
      </c>
      <c r="T14" s="39"/>
      <c r="U14" s="39"/>
      <c r="V14" s="527">
        <f>SUM(V15:V28)</f>
        <v>442.69924760343275</v>
      </c>
      <c r="W14" s="63">
        <f>IF(V$42=0,0,V14/V$42)</f>
        <v>0.65033246819478885</v>
      </c>
      <c r="X14" s="530">
        <f>SUM(X15:X28)</f>
        <v>3.5175271821289615</v>
      </c>
      <c r="Y14" s="65">
        <f>IF(X$42=0,0,X14/X$42)</f>
        <v>5.2860444751510194E-2</v>
      </c>
      <c r="Z14" s="531">
        <f>SUM(Z15:Z28)</f>
        <v>3.5175271821289615</v>
      </c>
      <c r="AA14" s="67">
        <f>IF(Z$42=0,0,Z14/Z$42)</f>
        <v>5.2860444751510194E-2</v>
      </c>
      <c r="AC14" s="561">
        <f>V14</f>
        <v>442.69924760343275</v>
      </c>
      <c r="AD14" s="561">
        <f>X14</f>
        <v>3.5175271821289615</v>
      </c>
      <c r="AE14" s="561">
        <f>AC14-AD14</f>
        <v>439.18172042130379</v>
      </c>
      <c r="AF14" s="562">
        <f>AD14/AC14</f>
        <v>7.9456362331113348E-3</v>
      </c>
      <c r="AG14" s="564" t="str">
        <f>IF(AF14&lt;AG$13,"_","ovat pienemmät kuin vertailulaskelmassa")</f>
        <v>_</v>
      </c>
      <c r="AH14" s="564" t="str">
        <f>IF(AF14&gt;AH$13,"_","ovat suuremmat kuin vertailulaskelmassa")</f>
        <v>ovat suuremmat kuin vertailulaskelmassa</v>
      </c>
      <c r="AI14" s="564">
        <f>IF(V14&lt;AI$13,1,0)</f>
        <v>0</v>
      </c>
      <c r="AK14" s="45" t="str">
        <f>S14</f>
        <v>Muuttuvat kustannukset</v>
      </c>
      <c r="AL14" s="44" t="str">
        <f>IF(AI14=0,IF(AF14&lt;1,AH14,AG14),"_")</f>
        <v>ovat suuremmat kuin vertailulaskelmassa</v>
      </c>
      <c r="AN14" s="245"/>
    </row>
    <row r="15" spans="1:59" ht="15" customHeight="1" thickBot="1" x14ac:dyDescent="0.4">
      <c r="B15" s="39"/>
      <c r="C15" s="39"/>
      <c r="D15" s="39"/>
      <c r="E15" s="50" t="s">
        <v>6</v>
      </c>
      <c r="F15" s="731" t="s">
        <v>237</v>
      </c>
      <c r="G15" s="732" t="s">
        <v>1</v>
      </c>
      <c r="H15" s="732" t="s">
        <v>407</v>
      </c>
      <c r="I15" s="732" t="s">
        <v>7</v>
      </c>
      <c r="K15" s="14" t="s">
        <v>477</v>
      </c>
      <c r="L15" s="36">
        <f>G18</f>
        <v>0</v>
      </c>
      <c r="M15" s="293">
        <f>'Rehujen tuotantokustannukset'!J6</f>
        <v>0</v>
      </c>
      <c r="N15" s="23">
        <f>N$14</f>
        <v>0.12491393554072597</v>
      </c>
      <c r="O15" s="269">
        <f>IF(P$3="Tarkista",0,L15*M15*N15/P$3)</f>
        <v>0</v>
      </c>
      <c r="P15" s="297"/>
      <c r="Q15" s="19"/>
      <c r="S15" s="39"/>
      <c r="T15" s="68" t="str">
        <f>K14</f>
        <v xml:space="preserve">   Säilörehu</v>
      </c>
      <c r="U15" s="39"/>
      <c r="V15" s="382">
        <f>IF(P$3="Tarkista",0,O14*(1-Q$43)/(M$6/P$3)*100)</f>
        <v>202.14981464595434</v>
      </c>
      <c r="W15" s="536">
        <f>IF(V$42=0,0,V15/V$42)</f>
        <v>0.29696139899832791</v>
      </c>
      <c r="X15" s="388">
        <f>Tuotantokustannusvertailu!N238</f>
        <v>0</v>
      </c>
      <c r="Y15" s="538">
        <f>IF(X$42=0,0,X15/X$42)</f>
        <v>0</v>
      </c>
      <c r="Z15" s="389">
        <f>Tuotantokustannusvertailu!AC238</f>
        <v>0</v>
      </c>
      <c r="AA15" s="540">
        <f>IF(Z$42=0,0,Z15/Z$42)</f>
        <v>0</v>
      </c>
      <c r="AC15" s="561">
        <f t="shared" ref="AC15:AC42" si="1">V15</f>
        <v>202.14981464595434</v>
      </c>
      <c r="AD15" s="561">
        <f t="shared" ref="AD15:AD42" si="2">X15</f>
        <v>0</v>
      </c>
      <c r="AE15" s="561">
        <f t="shared" ref="AE15:AE42" si="3">AC15-AD15</f>
        <v>202.14981464595434</v>
      </c>
      <c r="AF15" s="562">
        <f>AD15/AC15</f>
        <v>0</v>
      </c>
      <c r="AG15" s="564" t="str">
        <f>IF(AF15&lt;AG$13,"_","on pienempi kuin vertailulaskelmissa")</f>
        <v>_</v>
      </c>
      <c r="AH15" s="564" t="str">
        <f>IF(AF15&gt;AH$13,"_","on suurempi kuin vertailulaskelmissa")</f>
        <v>on suurempi kuin vertailulaskelmissa</v>
      </c>
      <c r="AI15" s="564">
        <f t="shared" ref="AI15:AI42" si="4">IF(V15&lt;AI$13,1,0)</f>
        <v>0</v>
      </c>
      <c r="AK15" s="45" t="str">
        <f>T15</f>
        <v xml:space="preserve">   Säilörehu</v>
      </c>
      <c r="AL15" s="44" t="str">
        <f t="shared" ref="AL15:AL42" si="5">IF(AI15=0,IF(AF15&lt;1,AH15,AG15),"_")</f>
        <v>on suurempi kuin vertailulaskelmissa</v>
      </c>
      <c r="AN15" s="245"/>
    </row>
    <row r="16" spans="1:59" ht="15" customHeight="1" thickTop="1" x14ac:dyDescent="0.35">
      <c r="B16" s="77" t="s">
        <v>356</v>
      </c>
      <c r="C16" s="39"/>
      <c r="D16" s="39"/>
      <c r="E16" s="733">
        <f>SUM(E17:E21)</f>
        <v>29</v>
      </c>
      <c r="F16" s="734" t="s">
        <v>352</v>
      </c>
      <c r="G16" s="734" t="s">
        <v>44</v>
      </c>
      <c r="H16" s="734" t="s">
        <v>353</v>
      </c>
      <c r="I16" s="734" t="s">
        <v>8</v>
      </c>
      <c r="K16" s="14" t="s">
        <v>478</v>
      </c>
      <c r="L16" s="36">
        <f>G19</f>
        <v>0</v>
      </c>
      <c r="M16" s="293">
        <f>'Rehujen tuotantokustannukset'!J7</f>
        <v>0</v>
      </c>
      <c r="N16" s="23">
        <f>N$14</f>
        <v>0.12491393554072597</v>
      </c>
      <c r="O16" s="269">
        <f>IF(P$3="Tarkista",0,L16*M16*N16/P$3)</f>
        <v>0</v>
      </c>
      <c r="P16" s="297"/>
      <c r="Q16" s="19"/>
      <c r="S16" s="39"/>
      <c r="T16" s="68" t="str">
        <f>K15</f>
        <v xml:space="preserve">   Rehuvilja</v>
      </c>
      <c r="U16" s="39"/>
      <c r="V16" s="382">
        <f>IF(P$3="Tarkista",0,O15*(1-Q$43)/(M$6/P$3)*100)</f>
        <v>0</v>
      </c>
      <c r="W16" s="536">
        <f t="shared" ref="W16:W28" si="6">IF(V$42=0,0,V16/V$42)</f>
        <v>0</v>
      </c>
      <c r="X16" s="388">
        <f>Tuotantokustannusvertailu!N239</f>
        <v>0.97528072859744985</v>
      </c>
      <c r="Y16" s="538">
        <f t="shared" ref="Y16:Y28" si="7">IF(X$42=0,0,X16/X$42)</f>
        <v>1.4656254351966514E-2</v>
      </c>
      <c r="Z16" s="389">
        <f>Tuotantokustannusvertailu!AC239</f>
        <v>0.97528072859744985</v>
      </c>
      <c r="AA16" s="540">
        <f t="shared" ref="AA16:AA28" si="8">IF(Z$42=0,0,Z16/Z$42)</f>
        <v>1.4656254351966514E-2</v>
      </c>
      <c r="AC16" s="561">
        <f t="shared" si="1"/>
        <v>0</v>
      </c>
      <c r="AD16" s="561">
        <f t="shared" si="2"/>
        <v>0.97528072859744985</v>
      </c>
      <c r="AE16" s="561">
        <f t="shared" si="3"/>
        <v>-0.97528072859744985</v>
      </c>
      <c r="AF16" s="562" t="e">
        <f>AD16/AC16</f>
        <v>#DIV/0!</v>
      </c>
      <c r="AG16" s="564" t="e">
        <f t="shared" ref="AG16:AG24" si="9">IF(AF16&lt;AG$13,"_","on pienempi kuin vertailulaskelmissa")</f>
        <v>#DIV/0!</v>
      </c>
      <c r="AH16" s="564" t="e">
        <f t="shared" ref="AH16:AH24" si="10">IF(AF16&gt;AH$13,"_","on suurempi kuin vertailulaskelmissa")</f>
        <v>#DIV/0!</v>
      </c>
      <c r="AI16" s="564">
        <f t="shared" si="4"/>
        <v>1</v>
      </c>
      <c r="AK16" s="45" t="str">
        <f t="shared" ref="AK16:AK28" si="11">T16</f>
        <v xml:space="preserve">   Rehuvilja</v>
      </c>
      <c r="AL16" s="44" t="str">
        <f t="shared" si="5"/>
        <v>_</v>
      </c>
      <c r="AN16" s="245"/>
    </row>
    <row r="17" spans="2:40" x14ac:dyDescent="0.35">
      <c r="B17" s="243" t="s">
        <v>421</v>
      </c>
      <c r="C17" s="735" t="s">
        <v>9</v>
      </c>
      <c r="D17" s="736"/>
      <c r="E17" s="737">
        <f>'Rehun käyttö, nettosato'!E17</f>
        <v>20</v>
      </c>
      <c r="F17" s="738">
        <f>'Rehun käyttö, nettosato'!M15</f>
        <v>8200</v>
      </c>
      <c r="G17" s="739">
        <f>E17*F17</f>
        <v>164000</v>
      </c>
      <c r="H17" s="739">
        <f>F17*Rehuntuotanto!J7</f>
        <v>91282.061855670094</v>
      </c>
      <c r="I17" s="740">
        <f>H17*E17</f>
        <v>1825641.2371134018</v>
      </c>
      <c r="K17" s="14" t="s">
        <v>479</v>
      </c>
      <c r="L17" s="36">
        <f>G20</f>
        <v>10000</v>
      </c>
      <c r="M17" s="293">
        <f>'Rehujen tuotantokustannukset'!J8</f>
        <v>0.49259631163817735</v>
      </c>
      <c r="N17" s="23">
        <f>N$14</f>
        <v>0.12491393554072597</v>
      </c>
      <c r="O17" s="269">
        <f>IF(P$3="Tarkista",0,L17*M17*N17/P$3)</f>
        <v>102.55357319928441</v>
      </c>
      <c r="P17" s="297"/>
      <c r="Q17" s="19"/>
      <c r="S17" s="39"/>
      <c r="T17" s="68" t="str">
        <f>K16</f>
        <v xml:space="preserve">   Kokoviljasäilörehu</v>
      </c>
      <c r="U17" s="39"/>
      <c r="V17" s="382">
        <f>IF(P$3="Tarkista",0,O16*(1-Q$43)/(M$6/P$3)*100)</f>
        <v>0</v>
      </c>
      <c r="W17" s="536">
        <f t="shared" si="6"/>
        <v>0</v>
      </c>
      <c r="X17" s="388">
        <f>Tuotantokustannusvertailu!N240</f>
        <v>0</v>
      </c>
      <c r="Y17" s="538">
        <f t="shared" si="7"/>
        <v>0</v>
      </c>
      <c r="Z17" s="389">
        <f>Tuotantokustannusvertailu!AC240</f>
        <v>0</v>
      </c>
      <c r="AA17" s="540">
        <f t="shared" si="8"/>
        <v>0</v>
      </c>
      <c r="AC17" s="561"/>
      <c r="AD17" s="561"/>
      <c r="AE17" s="561"/>
      <c r="AF17" s="562"/>
      <c r="AG17" s="564" t="str">
        <f t="shared" si="9"/>
        <v>_</v>
      </c>
      <c r="AH17" s="564" t="str">
        <f t="shared" si="10"/>
        <v>on suurempi kuin vertailulaskelmissa</v>
      </c>
      <c r="AI17" s="564">
        <f t="shared" si="4"/>
        <v>1</v>
      </c>
      <c r="AK17" s="45" t="str">
        <f t="shared" si="11"/>
        <v xml:space="preserve">   Kokoviljasäilörehu</v>
      </c>
      <c r="AL17" s="44" t="str">
        <f t="shared" si="5"/>
        <v>_</v>
      </c>
      <c r="AN17" s="245"/>
    </row>
    <row r="18" spans="2:40" x14ac:dyDescent="0.35">
      <c r="B18" s="243" t="s">
        <v>422</v>
      </c>
      <c r="C18" s="735" t="s">
        <v>10</v>
      </c>
      <c r="D18" s="736"/>
      <c r="E18" s="737">
        <f>'Rehun käyttö, nettosato'!E18</f>
        <v>0</v>
      </c>
      <c r="F18" s="16">
        <f>Rehuntuotanto!I29</f>
        <v>0</v>
      </c>
      <c r="G18" s="36">
        <f>E18*F18</f>
        <v>0</v>
      </c>
      <c r="H18" s="36">
        <f>Rehuntuotanto!K29</f>
        <v>0</v>
      </c>
      <c r="I18" s="53">
        <f>H18*E18</f>
        <v>0</v>
      </c>
      <c r="K18" s="14" t="s">
        <v>480</v>
      </c>
      <c r="L18" s="36">
        <f>G21</f>
        <v>17200</v>
      </c>
      <c r="M18" s="293">
        <f>'Rehujen tuotantokustannukset'!J9</f>
        <v>0.22911456355264062</v>
      </c>
      <c r="N18" s="23">
        <f>N$14</f>
        <v>0.12491393554072597</v>
      </c>
      <c r="O18" s="269">
        <f>IF(P$3="Tarkista",0,L18*M18*N18/P$3)</f>
        <v>82.042858559427529</v>
      </c>
      <c r="P18" s="297"/>
      <c r="Q18" s="19"/>
      <c r="S18" s="39"/>
      <c r="T18" s="68" t="str">
        <f>K17</f>
        <v xml:space="preserve">   Laidun</v>
      </c>
      <c r="U18" s="39"/>
      <c r="V18" s="382">
        <f>IF(P$3="Tarkista",0,O17*(1-Q$43)/(M$6/P$3)*100)</f>
        <v>50.537453661488598</v>
      </c>
      <c r="W18" s="536">
        <f t="shared" si="6"/>
        <v>7.4240349749582005E-2</v>
      </c>
      <c r="X18" s="388">
        <f>Tuotantokustannusvertailu!N241</f>
        <v>0</v>
      </c>
      <c r="Y18" s="538">
        <f t="shared" si="7"/>
        <v>0</v>
      </c>
      <c r="Z18" s="389">
        <f>Tuotantokustannusvertailu!AC241</f>
        <v>0</v>
      </c>
      <c r="AA18" s="540">
        <f t="shared" si="8"/>
        <v>0</v>
      </c>
      <c r="AC18" s="561"/>
      <c r="AD18" s="561"/>
      <c r="AE18" s="561"/>
      <c r="AF18" s="562"/>
      <c r="AG18" s="564" t="str">
        <f t="shared" si="9"/>
        <v>_</v>
      </c>
      <c r="AH18" s="564" t="str">
        <f t="shared" si="10"/>
        <v>on suurempi kuin vertailulaskelmissa</v>
      </c>
      <c r="AI18" s="564">
        <f t="shared" si="4"/>
        <v>0</v>
      </c>
      <c r="AK18" s="45" t="str">
        <f t="shared" si="11"/>
        <v xml:space="preserve">   Laidun</v>
      </c>
      <c r="AL18" s="44" t="str">
        <f t="shared" si="5"/>
        <v>on suurempi kuin vertailulaskelmissa</v>
      </c>
      <c r="AN18" s="245"/>
    </row>
    <row r="19" spans="2:40" ht="15" customHeight="1" x14ac:dyDescent="0.35">
      <c r="B19" s="243" t="s">
        <v>423</v>
      </c>
      <c r="C19" s="735" t="s">
        <v>48</v>
      </c>
      <c r="D19" s="736"/>
      <c r="E19" s="737">
        <f>'Rehun käyttö, nettosato'!E19</f>
        <v>0</v>
      </c>
      <c r="F19" s="16">
        <f>Rehuntuotanto!I36</f>
        <v>0</v>
      </c>
      <c r="G19" s="36">
        <f>E19*F19</f>
        <v>0</v>
      </c>
      <c r="H19" s="36">
        <f>Rehuntuotanto!K36</f>
        <v>0</v>
      </c>
      <c r="I19" s="53">
        <f>H19*E19</f>
        <v>0</v>
      </c>
      <c r="K19" s="39"/>
      <c r="L19" s="39"/>
      <c r="M19" s="663" t="s">
        <v>75</v>
      </c>
      <c r="N19" s="316" t="s">
        <v>38</v>
      </c>
      <c r="O19" s="402" t="s">
        <v>82</v>
      </c>
      <c r="P19" s="297"/>
      <c r="Q19" s="19"/>
      <c r="S19" s="39"/>
      <c r="T19" s="68" t="str">
        <f>K18</f>
        <v xml:space="preserve">   Muut korsirehut</v>
      </c>
      <c r="U19" s="39"/>
      <c r="V19" s="382">
        <f>IF(P$3="Tarkista",0,O18*(1-Q$43)/(M$6/P$3)*100)</f>
        <v>40.429962929190879</v>
      </c>
      <c r="W19" s="536">
        <f t="shared" si="6"/>
        <v>5.9392279799665597E-2</v>
      </c>
      <c r="X19" s="388">
        <f>Tuotantokustannusvertailu!N242</f>
        <v>0</v>
      </c>
      <c r="Y19" s="538">
        <f t="shared" si="7"/>
        <v>0</v>
      </c>
      <c r="Z19" s="389">
        <f>Tuotantokustannusvertailu!AC242</f>
        <v>0</v>
      </c>
      <c r="AA19" s="540">
        <f t="shared" si="8"/>
        <v>0</v>
      </c>
      <c r="AC19" s="561"/>
      <c r="AD19" s="561"/>
      <c r="AE19" s="561"/>
      <c r="AF19" s="562"/>
      <c r="AG19" s="564" t="str">
        <f t="shared" si="9"/>
        <v>_</v>
      </c>
      <c r="AH19" s="564" t="str">
        <f t="shared" si="10"/>
        <v>on suurempi kuin vertailulaskelmissa</v>
      </c>
      <c r="AI19" s="564">
        <f t="shared" si="4"/>
        <v>0</v>
      </c>
      <c r="AK19" s="45" t="str">
        <f t="shared" si="11"/>
        <v xml:space="preserve">   Muut korsirehut</v>
      </c>
      <c r="AL19" s="44" t="str">
        <f t="shared" si="5"/>
        <v>on suurempi kuin vertailulaskelmissa</v>
      </c>
      <c r="AN19" s="245"/>
    </row>
    <row r="20" spans="2:40" x14ac:dyDescent="0.35">
      <c r="B20" s="243" t="s">
        <v>424</v>
      </c>
      <c r="C20" s="735" t="s">
        <v>46</v>
      </c>
      <c r="D20" s="736"/>
      <c r="E20" s="737">
        <f>'Rehun käyttö, nettosato'!E20</f>
        <v>5</v>
      </c>
      <c r="F20" s="16">
        <f>Rehuntuotanto!I43</f>
        <v>2000</v>
      </c>
      <c r="G20" s="36">
        <f>E20*F20</f>
        <v>10000</v>
      </c>
      <c r="H20" s="36">
        <f>Rehuntuotanto!K43</f>
        <v>22000</v>
      </c>
      <c r="I20" s="53">
        <f>H20*E20</f>
        <v>110000</v>
      </c>
      <c r="K20" s="666" t="s">
        <v>47</v>
      </c>
      <c r="L20" s="667"/>
      <c r="M20" s="36">
        <f>Lähtötiedot!C19</f>
        <v>2000</v>
      </c>
      <c r="N20" s="23">
        <f t="shared" ref="N20:N26" si="12">N$14</f>
        <v>0.12491393554072597</v>
      </c>
      <c r="O20" s="269">
        <f t="shared" ref="O20:O26" si="13">IF(P$3="Tarkista",0,M20*N20/P$3)</f>
        <v>41.637978513575327</v>
      </c>
      <c r="P20" s="297"/>
      <c r="Q20" s="19"/>
      <c r="S20" s="39"/>
      <c r="T20" s="68" t="str">
        <f t="shared" ref="T20:T28" si="14">K20</f>
        <v>Ostorehut</v>
      </c>
      <c r="U20" s="39"/>
      <c r="V20" s="382">
        <f>IF(P$3="Tarkista",0,O20*(1-Q$43)/(M$6/P$3)*100)</f>
        <v>20.518811232435478</v>
      </c>
      <c r="W20" s="536">
        <f t="shared" si="6"/>
        <v>3.0142470820655739E-2</v>
      </c>
      <c r="X20" s="388">
        <f>Tuotantokustannusvertailu!N243</f>
        <v>0.2238251366120218</v>
      </c>
      <c r="Y20" s="538">
        <f t="shared" si="7"/>
        <v>3.3635834651085934E-3</v>
      </c>
      <c r="Z20" s="389">
        <f>Tuotantokustannusvertailu!AC243</f>
        <v>0.2238251366120218</v>
      </c>
      <c r="AA20" s="540">
        <f t="shared" si="8"/>
        <v>3.3635834651085934E-3</v>
      </c>
      <c r="AC20" s="561">
        <f t="shared" si="1"/>
        <v>20.518811232435478</v>
      </c>
      <c r="AD20" s="561">
        <f t="shared" si="2"/>
        <v>0.2238251366120218</v>
      </c>
      <c r="AE20" s="561">
        <f t="shared" si="3"/>
        <v>20.294986095823457</v>
      </c>
      <c r="AF20" s="562">
        <f t="shared" ref="AF20:AF28" si="15">AD20/AC20</f>
        <v>1.0908289670222523E-2</v>
      </c>
      <c r="AG20" s="564" t="str">
        <f t="shared" si="9"/>
        <v>_</v>
      </c>
      <c r="AH20" s="564" t="str">
        <f t="shared" si="10"/>
        <v>on suurempi kuin vertailulaskelmissa</v>
      </c>
      <c r="AI20" s="564">
        <f t="shared" si="4"/>
        <v>0</v>
      </c>
      <c r="AK20" s="45" t="str">
        <f t="shared" si="11"/>
        <v>Ostorehut</v>
      </c>
      <c r="AL20" s="44" t="str">
        <f t="shared" si="5"/>
        <v>on suurempi kuin vertailulaskelmissa</v>
      </c>
      <c r="AN20" s="245"/>
    </row>
    <row r="21" spans="2:40" ht="15" thickBot="1" x14ac:dyDescent="0.4">
      <c r="B21" s="243" t="s">
        <v>425</v>
      </c>
      <c r="C21" s="735" t="s">
        <v>348</v>
      </c>
      <c r="D21" s="736"/>
      <c r="E21" s="741">
        <f>'Rehun käyttö, nettosato'!E21</f>
        <v>4</v>
      </c>
      <c r="F21" s="16">
        <f>Rehuntuotanto!I50</f>
        <v>4300</v>
      </c>
      <c r="G21" s="36">
        <f>E21*F21</f>
        <v>17200</v>
      </c>
      <c r="H21" s="36">
        <f>Rehuntuotanto!K50</f>
        <v>45150</v>
      </c>
      <c r="I21" s="53">
        <f>H21*E21</f>
        <v>180600</v>
      </c>
      <c r="K21" s="877" t="s">
        <v>72</v>
      </c>
      <c r="L21" s="878"/>
      <c r="M21" s="36">
        <f>Lähtötiedot!C20</f>
        <v>600</v>
      </c>
      <c r="N21" s="23">
        <f t="shared" si="12"/>
        <v>0.12491393554072597</v>
      </c>
      <c r="O21" s="269">
        <f t="shared" si="13"/>
        <v>12.491393554072596</v>
      </c>
      <c r="P21" s="297"/>
      <c r="Q21" s="19"/>
      <c r="S21" s="39"/>
      <c r="T21" s="68" t="str">
        <f t="shared" si="14"/>
        <v>Kivennäiset</v>
      </c>
      <c r="U21" s="39"/>
      <c r="V21" s="382">
        <f t="shared" ref="V21:V28" si="16">IF(P$3="Tarkista",0,O21*(1-Q$43)/(M$6/P$3)*100)</f>
        <v>6.1556433697306412</v>
      </c>
      <c r="W21" s="536">
        <f t="shared" si="6"/>
        <v>9.0427412461967175E-3</v>
      </c>
      <c r="X21" s="388">
        <f>Tuotantokustannusvertailu!N244</f>
        <v>0.28910746812386157</v>
      </c>
      <c r="Y21" s="538">
        <f t="shared" si="7"/>
        <v>4.3446286424319346E-3</v>
      </c>
      <c r="Z21" s="389">
        <f>Tuotantokustannusvertailu!AC244</f>
        <v>0.28910746812386157</v>
      </c>
      <c r="AA21" s="540">
        <f t="shared" si="8"/>
        <v>4.3446286424319346E-3</v>
      </c>
      <c r="AC21" s="561">
        <f t="shared" si="1"/>
        <v>6.1556433697306412</v>
      </c>
      <c r="AD21" s="561">
        <f t="shared" si="2"/>
        <v>0.28910746812386157</v>
      </c>
      <c r="AE21" s="561">
        <f t="shared" si="3"/>
        <v>5.8665359016067793</v>
      </c>
      <c r="AF21" s="562">
        <f t="shared" si="15"/>
        <v>4.6966247191235891E-2</v>
      </c>
      <c r="AG21" s="564" t="str">
        <f t="shared" si="9"/>
        <v>_</v>
      </c>
      <c r="AH21" s="564" t="str">
        <f t="shared" si="10"/>
        <v>on suurempi kuin vertailulaskelmissa</v>
      </c>
      <c r="AI21" s="564">
        <f t="shared" si="4"/>
        <v>0</v>
      </c>
      <c r="AK21" s="45" t="str">
        <f t="shared" si="11"/>
        <v>Kivennäiset</v>
      </c>
      <c r="AL21" s="44" t="str">
        <f t="shared" si="5"/>
        <v>on suurempi kuin vertailulaskelmissa</v>
      </c>
      <c r="AN21" s="245"/>
    </row>
    <row r="22" spans="2:40" ht="15.5" thickTop="1" thickBot="1" x14ac:dyDescent="0.4">
      <c r="B22" s="39" t="s">
        <v>14</v>
      </c>
      <c r="C22" s="39"/>
      <c r="D22" s="39"/>
      <c r="E22" s="742">
        <f>'Rehun käyttö, nettosato'!E22</f>
        <v>0</v>
      </c>
      <c r="F22" s="39"/>
      <c r="G22" s="743"/>
      <c r="H22" s="39"/>
      <c r="I22" s="39"/>
      <c r="K22" s="877" t="s">
        <v>481</v>
      </c>
      <c r="L22" s="878"/>
      <c r="M22" s="36">
        <f>Lähtötiedot!C21</f>
        <v>1500</v>
      </c>
      <c r="N22" s="23">
        <f t="shared" si="12"/>
        <v>0.12491393554072597</v>
      </c>
      <c r="O22" s="269">
        <f t="shared" si="13"/>
        <v>31.22848388518149</v>
      </c>
      <c r="P22" s="297"/>
      <c r="Q22" s="19"/>
      <c r="S22" s="39"/>
      <c r="T22" s="68" t="str">
        <f t="shared" si="14"/>
        <v>Lääkintä</v>
      </c>
      <c r="U22" s="39"/>
      <c r="V22" s="382">
        <f t="shared" si="16"/>
        <v>15.389108424326606</v>
      </c>
      <c r="W22" s="536">
        <f t="shared" si="6"/>
        <v>2.26068531154918E-2</v>
      </c>
      <c r="X22" s="388">
        <f>Tuotantokustannusvertailu!N245</f>
        <v>0.74608378870673941</v>
      </c>
      <c r="Y22" s="538">
        <f t="shared" si="7"/>
        <v>1.1211944883695313E-2</v>
      </c>
      <c r="Z22" s="389">
        <f>Tuotantokustannusvertailu!AC245</f>
        <v>0.74608378870673941</v>
      </c>
      <c r="AA22" s="540">
        <f t="shared" si="8"/>
        <v>1.1211944883695313E-2</v>
      </c>
      <c r="AC22" s="561">
        <f t="shared" si="1"/>
        <v>15.389108424326606</v>
      </c>
      <c r="AD22" s="561">
        <f t="shared" si="2"/>
        <v>0.74608378870673941</v>
      </c>
      <c r="AE22" s="561">
        <f t="shared" si="3"/>
        <v>14.643024635619867</v>
      </c>
      <c r="AF22" s="562">
        <f t="shared" si="15"/>
        <v>4.8481287423211228E-2</v>
      </c>
      <c r="AG22" s="564" t="str">
        <f t="shared" si="9"/>
        <v>_</v>
      </c>
      <c r="AH22" s="564" t="str">
        <f t="shared" si="10"/>
        <v>on suurempi kuin vertailulaskelmissa</v>
      </c>
      <c r="AI22" s="564">
        <f t="shared" si="4"/>
        <v>0</v>
      </c>
      <c r="AK22" s="45" t="str">
        <f t="shared" si="11"/>
        <v>Lääkintä</v>
      </c>
      <c r="AL22" s="44" t="str">
        <f t="shared" si="5"/>
        <v>on suurempi kuin vertailulaskelmissa</v>
      </c>
      <c r="AN22" s="245"/>
    </row>
    <row r="23" spans="2:40" ht="15" thickBot="1" x14ac:dyDescent="0.4">
      <c r="B23" s="39" t="s">
        <v>16</v>
      </c>
      <c r="C23" s="39"/>
      <c r="D23" s="39"/>
      <c r="E23" s="428">
        <f>E22+E16</f>
        <v>29</v>
      </c>
      <c r="F23" s="39"/>
      <c r="G23" s="39"/>
      <c r="H23" s="39"/>
      <c r="I23" s="39"/>
      <c r="K23" s="877" t="s">
        <v>482</v>
      </c>
      <c r="L23" s="878"/>
      <c r="M23" s="36">
        <f>Lähtötiedot!C22</f>
        <v>2500</v>
      </c>
      <c r="N23" s="23">
        <f t="shared" si="12"/>
        <v>0.12491393554072597</v>
      </c>
      <c r="O23" s="269">
        <f t="shared" si="13"/>
        <v>52.047473141969157</v>
      </c>
      <c r="P23" s="297"/>
      <c r="Q23" s="19"/>
      <c r="S23" s="39"/>
      <c r="T23" s="68" t="str">
        <f t="shared" si="14"/>
        <v>Siemennys, jalostus ym.</v>
      </c>
      <c r="U23" s="39"/>
      <c r="V23" s="382">
        <f t="shared" si="16"/>
        <v>25.648514040544345</v>
      </c>
      <c r="W23" s="536">
        <f t="shared" si="6"/>
        <v>3.7678088525819671E-2</v>
      </c>
      <c r="X23" s="388">
        <f>Tuotantokustannusvertailu!N246</f>
        <v>0.31708561020036424</v>
      </c>
      <c r="Y23" s="538">
        <f t="shared" si="7"/>
        <v>4.765076575570508E-3</v>
      </c>
      <c r="Z23" s="389">
        <f>Tuotantokustannusvertailu!AC246</f>
        <v>0.31708561020036424</v>
      </c>
      <c r="AA23" s="540">
        <f t="shared" si="8"/>
        <v>4.765076575570508E-3</v>
      </c>
      <c r="AC23" s="561">
        <f t="shared" si="1"/>
        <v>25.648514040544345</v>
      </c>
      <c r="AD23" s="561">
        <f t="shared" si="2"/>
        <v>0.31708561020036424</v>
      </c>
      <c r="AE23" s="561">
        <f t="shared" si="3"/>
        <v>25.33142843034398</v>
      </c>
      <c r="AF23" s="562">
        <f t="shared" si="15"/>
        <v>1.2362728292918861E-2</v>
      </c>
      <c r="AG23" s="564" t="str">
        <f t="shared" si="9"/>
        <v>_</v>
      </c>
      <c r="AH23" s="564" t="str">
        <f t="shared" si="10"/>
        <v>on suurempi kuin vertailulaskelmissa</v>
      </c>
      <c r="AI23" s="564">
        <f t="shared" si="4"/>
        <v>0</v>
      </c>
      <c r="AK23" s="45" t="str">
        <f t="shared" si="11"/>
        <v>Siemennys, jalostus ym.</v>
      </c>
      <c r="AL23" s="44" t="str">
        <f t="shared" si="5"/>
        <v>on suurempi kuin vertailulaskelmissa</v>
      </c>
      <c r="AN23" s="245"/>
    </row>
    <row r="24" spans="2:40" x14ac:dyDescent="0.35">
      <c r="B24" s="39"/>
      <c r="C24" s="39"/>
      <c r="D24" s="39"/>
      <c r="E24" s="39"/>
      <c r="F24" s="39"/>
      <c r="G24" s="39"/>
      <c r="H24" s="39"/>
      <c r="I24" s="39"/>
      <c r="K24" s="877" t="s">
        <v>49</v>
      </c>
      <c r="L24" s="878"/>
      <c r="M24" s="36">
        <f>Lähtötiedot!C23</f>
        <v>1500</v>
      </c>
      <c r="N24" s="23">
        <f t="shared" si="12"/>
        <v>0.12491393554072597</v>
      </c>
      <c r="O24" s="269">
        <f t="shared" si="13"/>
        <v>31.22848388518149</v>
      </c>
      <c r="P24" s="297"/>
      <c r="Q24" s="19"/>
      <c r="S24" s="39"/>
      <c r="T24" s="68" t="str">
        <f t="shared" si="14"/>
        <v>Kuivikkeet</v>
      </c>
      <c r="U24" s="39"/>
      <c r="V24" s="382">
        <f t="shared" si="16"/>
        <v>15.389108424326606</v>
      </c>
      <c r="W24" s="536">
        <f t="shared" si="6"/>
        <v>2.26068531154918E-2</v>
      </c>
      <c r="X24" s="388">
        <f>Tuotantokustannusvertailu!N247</f>
        <v>0.37304189435336971</v>
      </c>
      <c r="Y24" s="538">
        <f t="shared" si="7"/>
        <v>5.6059724418476564E-3</v>
      </c>
      <c r="Z24" s="389">
        <f>Tuotantokustannusvertailu!AC247</f>
        <v>0.37304189435336971</v>
      </c>
      <c r="AA24" s="540">
        <f t="shared" si="8"/>
        <v>5.6059724418476564E-3</v>
      </c>
      <c r="AC24" s="561">
        <f t="shared" si="1"/>
        <v>15.389108424326606</v>
      </c>
      <c r="AD24" s="561">
        <f t="shared" si="2"/>
        <v>0.37304189435336971</v>
      </c>
      <c r="AE24" s="561">
        <f t="shared" si="3"/>
        <v>15.016066529973237</v>
      </c>
      <c r="AF24" s="562">
        <f t="shared" si="15"/>
        <v>2.4240643711605614E-2</v>
      </c>
      <c r="AG24" s="564" t="str">
        <f t="shared" si="9"/>
        <v>_</v>
      </c>
      <c r="AH24" s="564" t="str">
        <f t="shared" si="10"/>
        <v>on suurempi kuin vertailulaskelmissa</v>
      </c>
      <c r="AI24" s="564">
        <f t="shared" si="4"/>
        <v>0</v>
      </c>
      <c r="AK24" s="45" t="str">
        <f t="shared" si="11"/>
        <v>Kuivikkeet</v>
      </c>
      <c r="AL24" s="44" t="str">
        <f t="shared" si="5"/>
        <v>on suurempi kuin vertailulaskelmissa</v>
      </c>
      <c r="AN24" s="245"/>
    </row>
    <row r="25" spans="2:40" x14ac:dyDescent="0.35">
      <c r="B25" s="39"/>
      <c r="C25" s="39"/>
      <c r="D25" s="39"/>
      <c r="E25" s="39"/>
      <c r="F25" s="39"/>
      <c r="G25" s="39"/>
      <c r="H25" s="39"/>
      <c r="I25" s="39"/>
      <c r="K25" s="879" t="s">
        <v>50</v>
      </c>
      <c r="L25" s="875"/>
      <c r="M25" s="36">
        <f>Lähtötiedot!C24</f>
        <v>3500</v>
      </c>
      <c r="N25" s="23">
        <f t="shared" si="12"/>
        <v>0.12491393554072597</v>
      </c>
      <c r="O25" s="269">
        <f t="shared" si="13"/>
        <v>72.866462398756809</v>
      </c>
      <c r="P25" s="297"/>
      <c r="Q25" s="19"/>
      <c r="S25" s="39"/>
      <c r="T25" s="282" t="str">
        <f t="shared" si="14"/>
        <v>Muut muuttuvat kustannukset</v>
      </c>
      <c r="U25" s="39"/>
      <c r="V25" s="382">
        <f t="shared" si="16"/>
        <v>35.907919656762076</v>
      </c>
      <c r="W25" s="536">
        <f t="shared" si="6"/>
        <v>5.2749323936147528E-2</v>
      </c>
      <c r="X25" s="388">
        <f>Tuotantokustannusvertailu!N248</f>
        <v>0.18652094717668485</v>
      </c>
      <c r="Y25" s="538">
        <f t="shared" si="7"/>
        <v>2.8029862209238282E-3</v>
      </c>
      <c r="Z25" s="389">
        <f>Tuotantokustannusvertailu!AC248</f>
        <v>0.18652094717668485</v>
      </c>
      <c r="AA25" s="540">
        <f t="shared" si="8"/>
        <v>2.8029862209238282E-3</v>
      </c>
      <c r="AC25" s="561">
        <f t="shared" si="1"/>
        <v>35.907919656762076</v>
      </c>
      <c r="AD25" s="561">
        <f t="shared" si="2"/>
        <v>0.18652094717668485</v>
      </c>
      <c r="AE25" s="561">
        <f t="shared" si="3"/>
        <v>35.721398709585394</v>
      </c>
      <c r="AF25" s="562">
        <f t="shared" si="15"/>
        <v>5.1944236524869179E-3</v>
      </c>
      <c r="AG25" s="564" t="str">
        <f>IF(AF25&lt;AG$13,"_","ovat pienemmät kuin vertailulaskelmassa")</f>
        <v>_</v>
      </c>
      <c r="AH25" s="564" t="str">
        <f>IF(AF25&gt;AH$13,"_","ovat suuremmat kuin vertailulaskelmassa")</f>
        <v>ovat suuremmat kuin vertailulaskelmassa</v>
      </c>
      <c r="AI25" s="564">
        <f t="shared" si="4"/>
        <v>0</v>
      </c>
      <c r="AK25" s="45" t="str">
        <f t="shared" si="11"/>
        <v>Muut muuttuvat kustannukset</v>
      </c>
      <c r="AL25" s="44" t="str">
        <f t="shared" si="5"/>
        <v>ovat suuremmat kuin vertailulaskelmassa</v>
      </c>
      <c r="AN25" s="245"/>
    </row>
    <row r="26" spans="2:40" x14ac:dyDescent="0.35">
      <c r="B26" s="77" t="s">
        <v>47</v>
      </c>
      <c r="C26" s="39"/>
      <c r="D26" s="39"/>
      <c r="E26" s="50" t="s">
        <v>358</v>
      </c>
      <c r="F26" s="50" t="s">
        <v>20</v>
      </c>
      <c r="G26" s="50" t="s">
        <v>21</v>
      </c>
      <c r="H26" s="50" t="s">
        <v>44</v>
      </c>
      <c r="I26" s="75" t="s">
        <v>22</v>
      </c>
      <c r="K26" s="877" t="s">
        <v>51</v>
      </c>
      <c r="L26" s="878"/>
      <c r="M26" s="36">
        <f>Lähtötiedot!C25</f>
        <v>0</v>
      </c>
      <c r="N26" s="23">
        <f t="shared" si="12"/>
        <v>0.12491393554072597</v>
      </c>
      <c r="O26" s="269">
        <f t="shared" si="13"/>
        <v>0</v>
      </c>
      <c r="P26" s="297"/>
      <c r="Q26" s="19"/>
      <c r="S26" s="39"/>
      <c r="T26" s="68" t="str">
        <f t="shared" si="14"/>
        <v>Eläinten ostot</v>
      </c>
      <c r="U26" s="39"/>
      <c r="V26" s="382">
        <f t="shared" si="16"/>
        <v>0</v>
      </c>
      <c r="W26" s="536">
        <f t="shared" si="6"/>
        <v>0</v>
      </c>
      <c r="X26" s="388">
        <f>Tuotantokustannusvertailu!N249</f>
        <v>0.37304189435336971</v>
      </c>
      <c r="Y26" s="538">
        <f t="shared" si="7"/>
        <v>5.6059724418476564E-3</v>
      </c>
      <c r="Z26" s="389">
        <f>Tuotantokustannusvertailu!AC249</f>
        <v>0.37304189435336971</v>
      </c>
      <c r="AA26" s="540">
        <f t="shared" si="8"/>
        <v>5.6059724418476564E-3</v>
      </c>
      <c r="AC26" s="561">
        <f t="shared" si="1"/>
        <v>0</v>
      </c>
      <c r="AD26" s="561">
        <f t="shared" si="2"/>
        <v>0.37304189435336971</v>
      </c>
      <c r="AE26" s="561">
        <f t="shared" si="3"/>
        <v>-0.37304189435336971</v>
      </c>
      <c r="AF26" s="562" t="e">
        <f t="shared" si="15"/>
        <v>#DIV/0!</v>
      </c>
      <c r="AG26" s="564" t="e">
        <f>IF(AF26&lt;AG$13,"_","ovat pienemmät kuin vertailulaskelmassa")</f>
        <v>#DIV/0!</v>
      </c>
      <c r="AH26" s="564" t="e">
        <f>IF(AF26&gt;AH$13,"_","ovat suuremmat kuin vertailulaskelmassa")</f>
        <v>#DIV/0!</v>
      </c>
      <c r="AI26" s="564">
        <f t="shared" si="4"/>
        <v>1</v>
      </c>
      <c r="AK26" s="45" t="str">
        <f t="shared" si="11"/>
        <v>Eläinten ostot</v>
      </c>
      <c r="AL26" s="44" t="str">
        <f t="shared" si="5"/>
        <v>_</v>
      </c>
      <c r="AN26" s="245"/>
    </row>
    <row r="27" spans="2:40" x14ac:dyDescent="0.35">
      <c r="B27" s="77"/>
      <c r="C27" s="744" t="s">
        <v>357</v>
      </c>
      <c r="D27" s="77"/>
      <c r="E27" s="36">
        <f>'Rehun käyttö, nettosato'!E26</f>
        <v>0</v>
      </c>
      <c r="F27" s="36">
        <f>'Rehun käyttö, nettosato'!F26</f>
        <v>2000</v>
      </c>
      <c r="G27" s="745">
        <f>IF(E27=0,0,F27/E27)</f>
        <v>0</v>
      </c>
      <c r="H27" s="53">
        <f>'Rehun käyttö, nettosato'!H26</f>
        <v>0</v>
      </c>
      <c r="I27" s="53">
        <f>'Rehun käyttö, nettosato'!I26</f>
        <v>0</v>
      </c>
      <c r="K27" s="291" t="s">
        <v>52</v>
      </c>
      <c r="L27" s="36">
        <f>O26+Q27</f>
        <v>200</v>
      </c>
      <c r="M27" s="36">
        <f>L27*Q39*Energiantarve!J32/12</f>
        <v>18.333333333333332</v>
      </c>
      <c r="N27" s="22">
        <v>1</v>
      </c>
      <c r="O27" s="269">
        <f>IF(P$3="Tarkista",0,M27)</f>
        <v>18.333333333333332</v>
      </c>
      <c r="P27" s="297"/>
      <c r="Q27" s="24">
        <v>200</v>
      </c>
      <c r="S27" s="39"/>
      <c r="T27" s="68" t="str">
        <f t="shared" si="14"/>
        <v>Eläinpääoman korko</v>
      </c>
      <c r="U27" s="55"/>
      <c r="V27" s="382">
        <f t="shared" si="16"/>
        <v>9.0344973352954074</v>
      </c>
      <c r="W27" s="536">
        <f t="shared" si="6"/>
        <v>1.3271825020640369E-2</v>
      </c>
      <c r="X27" s="388">
        <f>Tuotantokustannusvertailu!N250</f>
        <v>1.8652094717668485E-2</v>
      </c>
      <c r="Y27" s="538">
        <f t="shared" si="7"/>
        <v>2.8029862209238282E-4</v>
      </c>
      <c r="Z27" s="389">
        <f>Tuotantokustannusvertailu!AC250</f>
        <v>1.8652094717668485E-2</v>
      </c>
      <c r="AA27" s="540">
        <f t="shared" si="8"/>
        <v>2.8029862209238282E-4</v>
      </c>
      <c r="AC27" s="561">
        <f t="shared" si="1"/>
        <v>9.0344973352954074</v>
      </c>
      <c r="AD27" s="561">
        <f t="shared" si="2"/>
        <v>1.8652094717668485E-2</v>
      </c>
      <c r="AE27" s="561">
        <f t="shared" si="3"/>
        <v>9.0158452405777396</v>
      </c>
      <c r="AF27" s="562">
        <f t="shared" si="15"/>
        <v>2.0645415041299145E-3</v>
      </c>
      <c r="AG27" s="564" t="str">
        <f>IF(AF27&lt;AG$13,"_","on pienempi kuin vertailulaskelmissa")</f>
        <v>_</v>
      </c>
      <c r="AH27" s="564" t="str">
        <f>IF(AF27&gt;AH$13,"_","on suurempi kuin vertailulaskelmissa")</f>
        <v>on suurempi kuin vertailulaskelmissa</v>
      </c>
      <c r="AI27" s="564">
        <f t="shared" si="4"/>
        <v>0</v>
      </c>
      <c r="AK27" s="45" t="str">
        <f t="shared" si="11"/>
        <v>Eläinpääoman korko</v>
      </c>
      <c r="AL27" s="44" t="str">
        <f t="shared" si="5"/>
        <v>on suurempi kuin vertailulaskelmissa</v>
      </c>
      <c r="AN27" s="245"/>
    </row>
    <row r="28" spans="2:40" x14ac:dyDescent="0.35">
      <c r="B28" s="77"/>
      <c r="C28" s="744" t="s">
        <v>360</v>
      </c>
      <c r="D28" s="39"/>
      <c r="E28" s="36">
        <f>'Rehun käyttö, nettosato'!E27</f>
        <v>0</v>
      </c>
      <c r="F28" s="36">
        <f>'Rehun käyttö, nettosato'!F27</f>
        <v>0</v>
      </c>
      <c r="G28" s="745">
        <f>IF(E28=0,0,F28/E28)</f>
        <v>0</v>
      </c>
      <c r="H28" s="53">
        <f>'Rehun käyttö, nettosato'!H27</f>
        <v>0</v>
      </c>
      <c r="I28" s="53">
        <f>'Rehun käyttö, nettosato'!I27</f>
        <v>0</v>
      </c>
      <c r="K28" s="291" t="s">
        <v>53</v>
      </c>
      <c r="L28" s="36">
        <f>SUM(O12:O18,O21:O25,O31:O32)*Q28</f>
        <v>476.80381285260654</v>
      </c>
      <c r="M28" s="36">
        <f>L28*Q39*Energiantarve!J32/12</f>
        <v>43.707016178155605</v>
      </c>
      <c r="N28" s="22">
        <v>1</v>
      </c>
      <c r="O28" s="269">
        <f>IF(P$3="Tarkista",0,M28)</f>
        <v>43.707016178155605</v>
      </c>
      <c r="P28" s="297"/>
      <c r="Q28" s="23">
        <v>0.6</v>
      </c>
      <c r="S28" s="39"/>
      <c r="T28" s="68" t="str">
        <f t="shared" si="14"/>
        <v>Liikepääoman korko</v>
      </c>
      <c r="U28" s="73"/>
      <c r="V28" s="382">
        <f t="shared" si="16"/>
        <v>21.538413883377821</v>
      </c>
      <c r="W28" s="536">
        <f t="shared" si="6"/>
        <v>3.1640283866769758E-2</v>
      </c>
      <c r="X28" s="388">
        <f>Tuotantokustannusvertailu!N251</f>
        <v>1.4887619287431691E-2</v>
      </c>
      <c r="Y28" s="538">
        <f t="shared" si="7"/>
        <v>2.2372710602580021E-4</v>
      </c>
      <c r="Z28" s="389">
        <f>Tuotantokustannusvertailu!AC251</f>
        <v>1.4887619287431691E-2</v>
      </c>
      <c r="AA28" s="540">
        <f t="shared" si="8"/>
        <v>2.2372710602580021E-4</v>
      </c>
      <c r="AC28" s="561">
        <f t="shared" si="1"/>
        <v>21.538413883377821</v>
      </c>
      <c r="AD28" s="561">
        <f t="shared" si="2"/>
        <v>1.4887619287431691E-2</v>
      </c>
      <c r="AE28" s="561">
        <f t="shared" si="3"/>
        <v>21.523526264090389</v>
      </c>
      <c r="AF28" s="562">
        <f t="shared" si="15"/>
        <v>6.9121242483510576E-4</v>
      </c>
      <c r="AG28" s="564" t="str">
        <f>IF(AF28&lt;AG$13,"_","on pienempi kuin vertailulaskelmissa")</f>
        <v>_</v>
      </c>
      <c r="AH28" s="564" t="str">
        <f>IF(AF28&gt;AH$13,"_","on suurempi kuin vertailulaskelmissa")</f>
        <v>on suurempi kuin vertailulaskelmissa</v>
      </c>
      <c r="AI28" s="564">
        <f t="shared" si="4"/>
        <v>0</v>
      </c>
      <c r="AK28" s="45" t="str">
        <f t="shared" si="11"/>
        <v>Liikepääoman korko</v>
      </c>
      <c r="AL28" s="44" t="str">
        <f t="shared" si="5"/>
        <v>on suurempi kuin vertailulaskelmissa</v>
      </c>
      <c r="AN28" s="245"/>
    </row>
    <row r="29" spans="2:40" x14ac:dyDescent="0.35">
      <c r="B29" s="77"/>
      <c r="C29" s="744" t="s">
        <v>359</v>
      </c>
      <c r="D29" s="77"/>
      <c r="E29" s="36">
        <f>'Rehun käyttö, nettosato'!E28</f>
        <v>0</v>
      </c>
      <c r="F29" s="36">
        <f>'Rehun käyttö, nettosato'!F28</f>
        <v>600</v>
      </c>
      <c r="G29" s="745">
        <f>IF(E29=0,0,F29/E29)</f>
        <v>0</v>
      </c>
      <c r="H29" s="39"/>
      <c r="I29" s="730"/>
      <c r="K29" s="19"/>
      <c r="L29" s="19"/>
      <c r="M29" s="19"/>
      <c r="N29" s="19"/>
      <c r="O29" s="273"/>
      <c r="P29" s="297"/>
      <c r="Q29" s="19"/>
      <c r="S29" s="39"/>
      <c r="T29" s="39"/>
      <c r="U29" s="39"/>
      <c r="V29" s="382"/>
      <c r="W29" s="537"/>
      <c r="X29" s="388"/>
      <c r="Y29" s="539"/>
      <c r="Z29" s="389"/>
      <c r="AA29" s="541"/>
      <c r="AC29" s="561"/>
      <c r="AD29" s="561"/>
      <c r="AE29" s="561"/>
      <c r="AF29" s="562"/>
      <c r="AN29" s="245"/>
    </row>
    <row r="30" spans="2:40" ht="15.5" x14ac:dyDescent="0.35">
      <c r="B30" s="77"/>
      <c r="C30" s="77"/>
      <c r="D30" s="39"/>
      <c r="E30" s="39"/>
      <c r="F30" s="39"/>
      <c r="G30" s="623"/>
      <c r="H30" s="39"/>
      <c r="I30" s="730"/>
      <c r="K30" s="51" t="s">
        <v>54</v>
      </c>
      <c r="L30" s="74" t="s">
        <v>55</v>
      </c>
      <c r="M30" s="663" t="s">
        <v>20</v>
      </c>
      <c r="N30" s="316" t="s">
        <v>38</v>
      </c>
      <c r="O30" s="402" t="s">
        <v>82</v>
      </c>
      <c r="P30" s="34" t="s">
        <v>466</v>
      </c>
      <c r="Q30" s="34" t="s">
        <v>512</v>
      </c>
      <c r="S30" s="61" t="s">
        <v>54</v>
      </c>
      <c r="T30" s="39"/>
      <c r="U30" s="39"/>
      <c r="V30" s="527">
        <f>SUM(V31:V32)</f>
        <v>0</v>
      </c>
      <c r="W30" s="63">
        <f>IF(V$42=0,0,V30/V$42)</f>
        <v>0</v>
      </c>
      <c r="X30" s="530">
        <f>SUM(X31:X32)</f>
        <v>59.144626593806919</v>
      </c>
      <c r="Y30" s="65">
        <f>IF(X$42=0,0,X30/X$42)</f>
        <v>0.88880941199106522</v>
      </c>
      <c r="Z30" s="531">
        <f>SUM(Z31:Z32)</f>
        <v>59.144626593806919</v>
      </c>
      <c r="AA30" s="67">
        <f>IF(Z$42=0,0,Z30/Z$42)</f>
        <v>0.88880941199106522</v>
      </c>
      <c r="AC30" s="561">
        <f t="shared" si="1"/>
        <v>0</v>
      </c>
      <c r="AD30" s="561">
        <f t="shared" si="2"/>
        <v>59.144626593806919</v>
      </c>
      <c r="AE30" s="561">
        <f t="shared" si="3"/>
        <v>-59.144626593806919</v>
      </c>
      <c r="AF30" s="562" t="e">
        <f>AD30/AC30</f>
        <v>#DIV/0!</v>
      </c>
      <c r="AG30" s="564" t="e">
        <f>IF(AF30&lt;AG$13,"_","on pienempi kuin vertailulaskelmissa")</f>
        <v>#DIV/0!</v>
      </c>
      <c r="AH30" s="564" t="e">
        <f>IF(AF30&gt;AH$13,"_","on suurempi kuin vertailulaskelmissa")</f>
        <v>#DIV/0!</v>
      </c>
      <c r="AI30" s="564">
        <f t="shared" si="4"/>
        <v>1</v>
      </c>
      <c r="AK30" s="45" t="str">
        <f>S30</f>
        <v>Työkustannus</v>
      </c>
      <c r="AL30" s="44" t="str">
        <f t="shared" si="5"/>
        <v>_</v>
      </c>
      <c r="AN30" s="245"/>
    </row>
    <row r="31" spans="2:40" x14ac:dyDescent="0.35">
      <c r="B31" s="77" t="s">
        <v>28</v>
      </c>
      <c r="C31" s="39"/>
      <c r="D31" s="39"/>
      <c r="E31" s="50" t="s">
        <v>27</v>
      </c>
      <c r="F31" s="50" t="s">
        <v>20</v>
      </c>
      <c r="G31" s="50" t="s">
        <v>25</v>
      </c>
      <c r="H31" s="39"/>
      <c r="I31" s="75" t="s">
        <v>22</v>
      </c>
      <c r="K31" s="17" t="s">
        <v>56</v>
      </c>
      <c r="L31" s="215">
        <f>Lähtötiedot!G21-L32</f>
        <v>0</v>
      </c>
      <c r="M31" s="36">
        <f>L31*365*P31</f>
        <v>0</v>
      </c>
      <c r="N31" s="22">
        <v>1</v>
      </c>
      <c r="O31" s="269">
        <f>IF(P$3="Tarkista",0,M31*N31/P$3)</f>
        <v>0</v>
      </c>
      <c r="P31" s="293">
        <f>'Säilörehun tuotantokustannus'!$P$26</f>
        <v>17</v>
      </c>
      <c r="Q31" s="215">
        <f>IF(P31=0,0,O31/P31)</f>
        <v>0</v>
      </c>
      <c r="S31" s="39"/>
      <c r="T31" s="39" t="s">
        <v>243</v>
      </c>
      <c r="U31" s="39"/>
      <c r="V31" s="382">
        <f>IF(P$3="Tarkista",0,O31*(1-Q$43)/(M$6/P$3)*100)</f>
        <v>0</v>
      </c>
      <c r="W31" s="536">
        <f>IF(V$42=0,0,V31/V$42)</f>
        <v>0</v>
      </c>
      <c r="X31" s="388">
        <f>Tuotantokustannusvertailu!N254</f>
        <v>57.868123861566481</v>
      </c>
      <c r="Y31" s="538">
        <f>IF(X$42=0,0,X31/X$42)</f>
        <v>0.86962647504161783</v>
      </c>
      <c r="Z31" s="389">
        <f>Tuotantokustannusvertailu!AC254</f>
        <v>57.868123861566481</v>
      </c>
      <c r="AA31" s="540">
        <f>IF(Z$42=0,0,Z31/Z$42)</f>
        <v>0.86962647504161783</v>
      </c>
      <c r="AC31" s="561">
        <f t="shared" si="1"/>
        <v>0</v>
      </c>
      <c r="AD31" s="561">
        <f t="shared" si="2"/>
        <v>57.868123861566481</v>
      </c>
      <c r="AE31" s="561">
        <f t="shared" si="3"/>
        <v>-57.868123861566481</v>
      </c>
      <c r="AF31" s="562" t="e">
        <f>AD31/AC31</f>
        <v>#DIV/0!</v>
      </c>
      <c r="AG31" s="564" t="e">
        <f>IF(AF31&lt;AG$13,"_","on pienempi kuin vertailulaskelmissa")</f>
        <v>#DIV/0!</v>
      </c>
      <c r="AH31" s="564" t="e">
        <f>IF(AF31&gt;AH$13,"_","on suurempi kuin vertailulaskelmissa")</f>
        <v>#DIV/0!</v>
      </c>
      <c r="AI31" s="564">
        <f t="shared" si="4"/>
        <v>1</v>
      </c>
      <c r="AK31" s="45" t="str">
        <f>T31</f>
        <v>Yrittäjäperheen työkust.</v>
      </c>
      <c r="AL31" s="44" t="str">
        <f t="shared" si="5"/>
        <v>_</v>
      </c>
      <c r="AN31" s="245"/>
    </row>
    <row r="32" spans="2:40" x14ac:dyDescent="0.35">
      <c r="B32" s="39"/>
      <c r="C32" s="300" t="s">
        <v>361</v>
      </c>
      <c r="D32" s="640"/>
      <c r="E32" s="36">
        <f>'Rehun käyttö, nettosato'!E31</f>
        <v>0</v>
      </c>
      <c r="F32" s="36">
        <f>'Rehun käyttö, nettosato'!F31</f>
        <v>0</v>
      </c>
      <c r="G32" s="745">
        <f>IF(E32=0,0,F32/E32)</f>
        <v>0</v>
      </c>
      <c r="H32" s="39"/>
      <c r="I32" s="53">
        <f>'Rehun käyttö, nettosato'!I31</f>
        <v>0</v>
      </c>
      <c r="K32" s="17" t="s">
        <v>61</v>
      </c>
      <c r="L32" s="215">
        <f>Lähtötiedot!H24/365</f>
        <v>0</v>
      </c>
      <c r="M32" s="24">
        <f>L32*365*P32</f>
        <v>0</v>
      </c>
      <c r="N32" s="22">
        <v>1</v>
      </c>
      <c r="O32" s="269">
        <f>IF(P$3="Tarkista",0,M32*N32/P$3)</f>
        <v>0</v>
      </c>
      <c r="P32" s="293">
        <f>'Säilörehun tuotantokustannus'!$P$27</f>
        <v>15</v>
      </c>
      <c r="Q32" s="215">
        <f>IF(P32=0,0,O32/P32)</f>
        <v>0</v>
      </c>
      <c r="S32" s="39"/>
      <c r="T32" s="39" t="s">
        <v>62</v>
      </c>
      <c r="U32" s="39"/>
      <c r="V32" s="382">
        <f>IF(P$3="Tarkista",0,O32*(1-Q$43)/(M$6/P$3)*100)</f>
        <v>0</v>
      </c>
      <c r="W32" s="536">
        <f>IF(V$42=0,0,V32/V$42)</f>
        <v>0</v>
      </c>
      <c r="X32" s="388">
        <f>Tuotantokustannusvertailu!N255</f>
        <v>1.276502732240437</v>
      </c>
      <c r="Y32" s="538">
        <f>IF(X$42=0,0,X32/X$42)</f>
        <v>1.9182936949447449E-2</v>
      </c>
      <c r="Z32" s="389">
        <f>Tuotantokustannusvertailu!AC255</f>
        <v>1.276502732240437</v>
      </c>
      <c r="AA32" s="540">
        <f>IF(Z$42=0,0,Z32/Z$42)</f>
        <v>1.9182936949447449E-2</v>
      </c>
      <c r="AC32" s="561">
        <f t="shared" si="1"/>
        <v>0</v>
      </c>
      <c r="AD32" s="561">
        <f t="shared" si="2"/>
        <v>1.276502732240437</v>
      </c>
      <c r="AE32" s="561">
        <f t="shared" si="3"/>
        <v>-1.276502732240437</v>
      </c>
      <c r="AF32" s="562" t="e">
        <f>AD32/AC32</f>
        <v>#DIV/0!</v>
      </c>
      <c r="AG32" s="564" t="e">
        <f>IF(AF32&lt;AG$13,"_","on pienempi kuin vertailulaskelmissa")</f>
        <v>#DIV/0!</v>
      </c>
      <c r="AH32" s="564" t="e">
        <f>IF(AF32&gt;AH$13,"_","on suurempi kuin vertailulaskelmissa")</f>
        <v>#DIV/0!</v>
      </c>
      <c r="AI32" s="564">
        <f t="shared" si="4"/>
        <v>1</v>
      </c>
      <c r="AK32" s="45" t="str">
        <f>T32</f>
        <v>Palkkatyökustannus</v>
      </c>
      <c r="AL32" s="44" t="str">
        <f t="shared" si="5"/>
        <v>_</v>
      </c>
      <c r="AN32" s="245"/>
    </row>
    <row r="33" spans="2:40" x14ac:dyDescent="0.35">
      <c r="B33" s="39"/>
      <c r="C33" s="300" t="s">
        <v>362</v>
      </c>
      <c r="D33" s="640"/>
      <c r="E33" s="36">
        <f>'Rehun käyttö, nettosato'!E32</f>
        <v>0</v>
      </c>
      <c r="F33" s="36">
        <f>'Rehun käyttö, nettosato'!F32</f>
        <v>0</v>
      </c>
      <c r="G33" s="745">
        <f>IF(E33=0,0,F33/E33)</f>
        <v>0</v>
      </c>
      <c r="H33" s="39"/>
      <c r="I33" s="53">
        <f>'Rehun käyttö, nettosato'!I32</f>
        <v>0</v>
      </c>
      <c r="K33" s="19"/>
      <c r="L33" s="19"/>
      <c r="M33" s="19"/>
      <c r="N33" s="19"/>
      <c r="O33" s="273"/>
      <c r="P33" s="297"/>
      <c r="Q33" s="19"/>
      <c r="S33" s="39"/>
      <c r="T33" s="39"/>
      <c r="U33" s="39"/>
      <c r="V33" s="382"/>
      <c r="W33" s="537"/>
      <c r="X33" s="388"/>
      <c r="Y33" s="539"/>
      <c r="Z33" s="389"/>
      <c r="AA33" s="541"/>
      <c r="AC33" s="561"/>
      <c r="AD33" s="561"/>
      <c r="AE33" s="561"/>
      <c r="AF33" s="562"/>
      <c r="AK33" s="45"/>
      <c r="AN33" s="245"/>
    </row>
    <row r="34" spans="2:40" ht="16" thickBot="1" x14ac:dyDescent="0.4">
      <c r="B34" s="39"/>
      <c r="C34" s="746" t="s">
        <v>419</v>
      </c>
      <c r="D34" s="640"/>
      <c r="E34" s="36">
        <f>'Rehun käyttö, nettosato'!E33</f>
        <v>0</v>
      </c>
      <c r="F34" s="36">
        <f>'Rehun käyttö, nettosato'!F33</f>
        <v>0</v>
      </c>
      <c r="G34" s="745">
        <f>IF(E34=0,0,F34/E34)</f>
        <v>0</v>
      </c>
      <c r="H34" s="39"/>
      <c r="I34" s="53">
        <f>'Rehun käyttö, nettosato'!I33</f>
        <v>0</v>
      </c>
      <c r="K34" s="51" t="s">
        <v>63</v>
      </c>
      <c r="L34" s="19"/>
      <c r="M34" s="21"/>
      <c r="N34" s="20"/>
      <c r="O34" s="391"/>
      <c r="P34" s="297"/>
      <c r="Q34" s="19"/>
      <c r="S34" s="39"/>
      <c r="T34" s="39"/>
      <c r="U34" s="39"/>
      <c r="V34" s="382"/>
      <c r="W34" s="537"/>
      <c r="X34" s="388"/>
      <c r="Y34" s="539"/>
      <c r="Z34" s="389"/>
      <c r="AA34" s="541"/>
      <c r="AC34" s="561"/>
      <c r="AD34" s="561"/>
      <c r="AE34" s="561"/>
      <c r="AF34" s="562"/>
      <c r="AK34" s="45"/>
      <c r="AN34" s="245"/>
    </row>
    <row r="35" spans="2:40" ht="15" thickTop="1" x14ac:dyDescent="0.35">
      <c r="B35" s="39"/>
      <c r="C35" s="39"/>
      <c r="D35" s="56" t="s">
        <v>31</v>
      </c>
      <c r="E35" s="39"/>
      <c r="F35" s="39"/>
      <c r="G35" s="39"/>
      <c r="H35" s="39"/>
      <c r="I35" s="53">
        <f>SUM(I32:I34)</f>
        <v>0</v>
      </c>
      <c r="K35" s="277" t="s">
        <v>64</v>
      </c>
      <c r="L35" s="292" t="s">
        <v>769</v>
      </c>
      <c r="M35" s="663" t="s">
        <v>20</v>
      </c>
      <c r="N35" s="316" t="s">
        <v>38</v>
      </c>
      <c r="O35" s="402" t="s">
        <v>82</v>
      </c>
      <c r="P35" s="297"/>
      <c r="Q35" s="34" t="s">
        <v>470</v>
      </c>
      <c r="S35" s="61" t="s">
        <v>63</v>
      </c>
      <c r="T35" s="39"/>
      <c r="U35" s="39"/>
      <c r="V35" s="527">
        <f>SUM(V36:V40)</f>
        <v>238.02833290979288</v>
      </c>
      <c r="W35" s="63">
        <f t="shared" ref="W35:W40" si="17">IF(V$42=0,0,V35/V$42)</f>
        <v>0.34966753180521143</v>
      </c>
      <c r="X35" s="530">
        <f>SUM(X36:X40)</f>
        <v>3.8815009107468117</v>
      </c>
      <c r="Y35" s="65">
        <f t="shared" ref="Y35:Y40" si="18">IF(X$42=0,0,X35/X$42)</f>
        <v>5.8330143257424867E-2</v>
      </c>
      <c r="Z35" s="531">
        <f>SUM(Z36:Z40)</f>
        <v>3.8815009107468117</v>
      </c>
      <c r="AA35" s="67">
        <f t="shared" ref="AA35:AA40" si="19">IF(Z$42=0,0,Z35/Z$42)</f>
        <v>5.8330143257424867E-2</v>
      </c>
      <c r="AC35" s="561">
        <f t="shared" si="1"/>
        <v>238.02833290979288</v>
      </c>
      <c r="AD35" s="561">
        <f t="shared" si="2"/>
        <v>3.8815009107468117</v>
      </c>
      <c r="AE35" s="561">
        <f t="shared" si="3"/>
        <v>234.14683199904607</v>
      </c>
      <c r="AF35" s="562">
        <f t="shared" ref="AF35:AF40" si="20">AD35/AC35</f>
        <v>1.6306886089135487E-2</v>
      </c>
      <c r="AG35" s="564" t="str">
        <f>IF(AF35&lt;AG$13,"_","ovat pienemmät kuin vertailulaskelmassa")</f>
        <v>_</v>
      </c>
      <c r="AH35" s="564" t="str">
        <f>IF(AF35&gt;AH$13,"_","ovat suuremmat kuin vertailulaskelmassa")</f>
        <v>ovat suuremmat kuin vertailulaskelmassa</v>
      </c>
      <c r="AI35" s="564">
        <f t="shared" si="4"/>
        <v>0</v>
      </c>
      <c r="AK35" s="45" t="str">
        <f>S35</f>
        <v>Kiinteät kustannukset</v>
      </c>
      <c r="AL35" s="44" t="str">
        <f t="shared" si="5"/>
        <v>ovat suuremmat kuin vertailulaskelmassa</v>
      </c>
      <c r="AN35" s="245"/>
    </row>
    <row r="36" spans="2:40" ht="15" thickBot="1" x14ac:dyDescent="0.4">
      <c r="C36" s="39"/>
      <c r="D36" s="39"/>
      <c r="E36" s="39"/>
      <c r="F36" s="39"/>
      <c r="G36" s="39"/>
      <c r="H36" s="39"/>
      <c r="I36" s="39"/>
      <c r="K36" s="278" t="s">
        <v>474</v>
      </c>
      <c r="L36" s="431">
        <f>Lähtötiedot!M19</f>
        <v>70000</v>
      </c>
      <c r="M36" s="16">
        <f>L36/Lähtötiedot!L19</f>
        <v>4666.666666666667</v>
      </c>
      <c r="N36" s="23">
        <f>N$14</f>
        <v>0.12491393554072597</v>
      </c>
      <c r="O36" s="269">
        <f>IF(P$3="Tarkista",0,M36*N36/P$3)</f>
        <v>97.155283198342431</v>
      </c>
      <c r="P36" s="297"/>
      <c r="Q36" s="266">
        <v>0.03</v>
      </c>
      <c r="S36" s="39"/>
      <c r="T36" s="39" t="s">
        <v>67</v>
      </c>
      <c r="U36" s="39"/>
      <c r="V36" s="382">
        <f>IF(P$3="Tarkista",0,O36*(1-Q$43)/(M$6/P$3)*100)</f>
        <v>47.877226209016115</v>
      </c>
      <c r="W36" s="536">
        <f t="shared" si="17"/>
        <v>7.0332431914863394E-2</v>
      </c>
      <c r="X36" s="388">
        <f>Tuotantokustannusvertailu!N259</f>
        <v>0.94503946569520336</v>
      </c>
      <c r="Y36" s="538">
        <f t="shared" si="18"/>
        <v>1.4201796852680731E-2</v>
      </c>
      <c r="Z36" s="389">
        <f>Tuotantokustannusvertailu!AC259</f>
        <v>0.94503946569520336</v>
      </c>
      <c r="AA36" s="540">
        <f t="shared" si="19"/>
        <v>1.4201796852680731E-2</v>
      </c>
      <c r="AC36" s="561">
        <f t="shared" si="1"/>
        <v>47.877226209016115</v>
      </c>
      <c r="AD36" s="561">
        <f t="shared" si="2"/>
        <v>0.94503946569520336</v>
      </c>
      <c r="AE36" s="561">
        <f t="shared" si="3"/>
        <v>46.932186743320912</v>
      </c>
      <c r="AF36" s="562">
        <f t="shared" si="20"/>
        <v>1.9738809879450283E-2</v>
      </c>
      <c r="AG36" s="564" t="str">
        <f>IF(AF36&lt;AG$13,"_","ovat pienemmät kuin vertailulaskelmassa")</f>
        <v>_</v>
      </c>
      <c r="AH36" s="564" t="str">
        <f>IF(AF36&gt;AH$13,"_","ovat suuremmat kuin vertailulaskelmassa")</f>
        <v>ovat suuremmat kuin vertailulaskelmassa</v>
      </c>
      <c r="AI36" s="564">
        <f t="shared" si="4"/>
        <v>0</v>
      </c>
      <c r="AK36" s="45" t="str">
        <f>T36</f>
        <v>Konepoistot</v>
      </c>
      <c r="AL36" s="44" t="str">
        <f t="shared" si="5"/>
        <v>ovat suuremmat kuin vertailulaskelmassa</v>
      </c>
      <c r="AN36" s="245"/>
    </row>
    <row r="37" spans="2:40" ht="15" thickBot="1" x14ac:dyDescent="0.4">
      <c r="B37" s="77" t="s">
        <v>33</v>
      </c>
      <c r="C37" s="39"/>
      <c r="D37" s="39"/>
      <c r="E37" s="39"/>
      <c r="F37" s="39"/>
      <c r="G37" s="39"/>
      <c r="H37" s="748">
        <f>1-I12/I37</f>
        <v>4.5520351340867515E-3</v>
      </c>
      <c r="I37" s="747">
        <f>SUM(I17:I28)-I35</f>
        <v>2116241.2371134018</v>
      </c>
      <c r="K37" s="279" t="s">
        <v>68</v>
      </c>
      <c r="L37" s="432">
        <f>Lähtötiedot!M20</f>
        <v>120000</v>
      </c>
      <c r="M37" s="16">
        <f>L37/Lähtötiedot!L20</f>
        <v>8000</v>
      </c>
      <c r="N37" s="23">
        <f>N$14</f>
        <v>0.12491393554072597</v>
      </c>
      <c r="O37" s="269">
        <f>IF(P$3="Tarkista",0,M37*N37/P$3)</f>
        <v>166.55191405430131</v>
      </c>
      <c r="P37" s="297"/>
      <c r="Q37" s="266">
        <v>0.01</v>
      </c>
      <c r="S37" s="39"/>
      <c r="T37" s="39" t="s">
        <v>69</v>
      </c>
      <c r="U37" s="39"/>
      <c r="V37" s="382">
        <f>IF(P$3="Tarkista",0,O37*(1-Q$43)/(M$6/P$3)*100)</f>
        <v>82.075244929741913</v>
      </c>
      <c r="W37" s="536">
        <f t="shared" si="17"/>
        <v>0.12056988328262296</v>
      </c>
      <c r="X37" s="388">
        <f>Tuotantokustannusvertailu!N260</f>
        <v>1.069386763812993</v>
      </c>
      <c r="Y37" s="538">
        <f t="shared" si="18"/>
        <v>1.6070454333296614E-2</v>
      </c>
      <c r="Z37" s="389">
        <f>Tuotantokustannusvertailu!AC260</f>
        <v>1.069386763812993</v>
      </c>
      <c r="AA37" s="540">
        <f t="shared" si="19"/>
        <v>1.6070454333296614E-2</v>
      </c>
      <c r="AC37" s="561">
        <f t="shared" si="1"/>
        <v>82.075244929741913</v>
      </c>
      <c r="AD37" s="561">
        <f t="shared" si="2"/>
        <v>1.069386763812993</v>
      </c>
      <c r="AE37" s="561">
        <f t="shared" si="3"/>
        <v>81.005858165928913</v>
      </c>
      <c r="AF37" s="562">
        <f t="shared" si="20"/>
        <v>1.3029345994988013E-2</v>
      </c>
      <c r="AG37" s="564" t="str">
        <f>IF(AF37&lt;AG$13,"_","ovat pienemmät kuin vertailulaskelmassa")</f>
        <v>_</v>
      </c>
      <c r="AH37" s="564" t="str">
        <f>IF(AF37&gt;AH$13,"_","ovat suuremmat kuin vertailulaskelmassa")</f>
        <v>ovat suuremmat kuin vertailulaskelmassa</v>
      </c>
      <c r="AI37" s="564">
        <f t="shared" si="4"/>
        <v>0</v>
      </c>
      <c r="AK37" s="45" t="str">
        <f>T37</f>
        <v>Rakennuspoistot</v>
      </c>
      <c r="AL37" s="44" t="str">
        <f t="shared" si="5"/>
        <v>ovat suuremmat kuin vertailulaskelmassa</v>
      </c>
      <c r="AN37" s="245"/>
    </row>
    <row r="38" spans="2:40" x14ac:dyDescent="0.35">
      <c r="B38" s="78"/>
      <c r="C38" s="78"/>
      <c r="D38" s="78"/>
      <c r="E38" s="79"/>
      <c r="F38" s="398"/>
      <c r="G38" s="399"/>
      <c r="H38" s="400"/>
      <c r="I38" s="399"/>
      <c r="K38" s="276" t="s">
        <v>71</v>
      </c>
      <c r="L38" s="433">
        <f>Lähtötiedot!M24+Lähtötiedot!M25</f>
        <v>5000</v>
      </c>
      <c r="M38" s="24">
        <f>IF(P$3="Tarkista",0,L38/P$3)</f>
        <v>833.33333333333337</v>
      </c>
      <c r="N38" s="23">
        <f>N$14</f>
        <v>0.12491393554072597</v>
      </c>
      <c r="O38" s="269">
        <f>M38*N38</f>
        <v>104.09494628393831</v>
      </c>
      <c r="P38" s="297"/>
      <c r="Q38" s="24">
        <f>IF(P3="Tarkista",0,(L37*Q37+L36*Q36)/P3)</f>
        <v>550</v>
      </c>
      <c r="S38" s="39"/>
      <c r="T38" s="39" t="s">
        <v>71</v>
      </c>
      <c r="U38" s="39"/>
      <c r="V38" s="382">
        <f>IF(P$3="Tarkista",0,O38*(1-Q$43)/(M$6/P$3)*100)</f>
        <v>51.29702808108869</v>
      </c>
      <c r="W38" s="536">
        <f t="shared" si="17"/>
        <v>7.5356177051639342E-2</v>
      </c>
      <c r="X38" s="388">
        <f>Tuotantokustannusvertailu!N261</f>
        <v>0.42899817850637517</v>
      </c>
      <c r="Y38" s="538">
        <f t="shared" si="18"/>
        <v>6.4468683081248049E-3</v>
      </c>
      <c r="Z38" s="389">
        <f>Tuotantokustannusvertailu!AC261</f>
        <v>0.42899817850637517</v>
      </c>
      <c r="AA38" s="540">
        <f t="shared" si="19"/>
        <v>6.4468683081248049E-3</v>
      </c>
      <c r="AC38" s="561">
        <f t="shared" si="1"/>
        <v>51.29702808108869</v>
      </c>
      <c r="AD38" s="561">
        <f t="shared" si="2"/>
        <v>0.42899817850637517</v>
      </c>
      <c r="AE38" s="561">
        <f t="shared" si="3"/>
        <v>50.868029902582315</v>
      </c>
      <c r="AF38" s="562">
        <f t="shared" si="20"/>
        <v>8.3630220805039363E-3</v>
      </c>
      <c r="AG38" s="564" t="str">
        <f>IF(AF38&lt;AG$13,"_","on pienempi kuin vertailulaskelmissa")</f>
        <v>_</v>
      </c>
      <c r="AH38" s="564" t="str">
        <f>IF(AF38&gt;AH$13,"_","on suurempi kuin vertailulaskelmissa")</f>
        <v>on suurempi kuin vertailulaskelmissa</v>
      </c>
      <c r="AI38" s="564">
        <f t="shared" si="4"/>
        <v>0</v>
      </c>
      <c r="AK38" s="45" t="str">
        <f>T38</f>
        <v>Huolto ja kunnossapito</v>
      </c>
      <c r="AL38" s="44" t="str">
        <f t="shared" si="5"/>
        <v>on suurempi kuin vertailulaskelmissa</v>
      </c>
      <c r="AN38" s="245"/>
    </row>
    <row r="39" spans="2:40" x14ac:dyDescent="0.35">
      <c r="B39" s="585" t="s">
        <v>681</v>
      </c>
      <c r="C39" s="586"/>
      <c r="D39" s="587"/>
      <c r="E39" s="549" t="s">
        <v>40</v>
      </c>
      <c r="F39" s="543" t="s">
        <v>41</v>
      </c>
      <c r="G39" s="544" t="s">
        <v>42</v>
      </c>
      <c r="H39" s="11"/>
      <c r="I39" s="11"/>
      <c r="K39" s="14" t="s">
        <v>73</v>
      </c>
      <c r="L39" s="36">
        <f>(L36+L37+L41)/2*Q39</f>
        <v>4750</v>
      </c>
      <c r="M39" s="36">
        <f>IF(P$3="Tarkista",0,L39/P$3)</f>
        <v>791.66666666666663</v>
      </c>
      <c r="N39" s="23">
        <f>N$14</f>
        <v>0.12491393554072597</v>
      </c>
      <c r="O39" s="269">
        <f>M39*N39</f>
        <v>98.890198969741391</v>
      </c>
      <c r="P39" s="297"/>
      <c r="Q39" s="23">
        <v>0.05</v>
      </c>
      <c r="S39" s="39"/>
      <c r="T39" s="39" t="s">
        <v>73</v>
      </c>
      <c r="U39" s="39"/>
      <c r="V39" s="382">
        <f>IF(P$3="Tarkista",0,O39*(1-Q$43)/(M$6/P$3)*100)</f>
        <v>48.732176677034253</v>
      </c>
      <c r="W39" s="536">
        <f t="shared" si="17"/>
        <v>7.1588368199057367E-2</v>
      </c>
      <c r="X39" s="388">
        <f>Tuotantokustannusvertailu!N262</f>
        <v>0.75540983606557366</v>
      </c>
      <c r="Y39" s="538">
        <f t="shared" si="18"/>
        <v>1.1352094194741504E-2</v>
      </c>
      <c r="Z39" s="389">
        <f>Tuotantokustannusvertailu!AC262</f>
        <v>0.75540983606557366</v>
      </c>
      <c r="AA39" s="540">
        <f t="shared" si="19"/>
        <v>1.1352094194741504E-2</v>
      </c>
      <c r="AC39" s="561">
        <f t="shared" si="1"/>
        <v>48.732176677034253</v>
      </c>
      <c r="AD39" s="561">
        <f t="shared" si="2"/>
        <v>0.75540983606557366</v>
      </c>
      <c r="AE39" s="561">
        <f t="shared" si="3"/>
        <v>47.976766840968679</v>
      </c>
      <c r="AF39" s="562">
        <f t="shared" si="20"/>
        <v>1.5501253741895168E-2</v>
      </c>
      <c r="AG39" s="564" t="str">
        <f>IF(AF39&lt;AG$13,"_","on pienempi kuin vertailulaskelmissa")</f>
        <v>_</v>
      </c>
      <c r="AH39" s="564" t="str">
        <f>IF(AF39&gt;AH$13,"_","on suurempi kuin vertailulaskelmissa")</f>
        <v>on suurempi kuin vertailulaskelmissa</v>
      </c>
      <c r="AI39" s="564">
        <f t="shared" si="4"/>
        <v>0</v>
      </c>
      <c r="AK39" s="45" t="str">
        <f>T39</f>
        <v>Korko</v>
      </c>
      <c r="AL39" s="44" t="str">
        <f t="shared" si="5"/>
        <v>on suurempi kuin vertailulaskelmissa</v>
      </c>
      <c r="AN39" s="245"/>
    </row>
    <row r="40" spans="2:40" x14ac:dyDescent="0.35">
      <c r="B40" s="545" t="s">
        <v>689</v>
      </c>
      <c r="C40" s="545"/>
      <c r="D40" s="545"/>
      <c r="E40" s="550">
        <f>O9</f>
        <v>2178.666666666667</v>
      </c>
      <c r="F40" s="546">
        <f>Tuotantokustannusvertailu!G232</f>
        <v>6100</v>
      </c>
      <c r="G40" s="547">
        <f>Tuotantokustannusvertailu!V232</f>
        <v>6100</v>
      </c>
      <c r="H40" s="11"/>
      <c r="I40" s="11"/>
      <c r="K40" s="14" t="s">
        <v>74</v>
      </c>
      <c r="L40" s="36">
        <f>IF(P3="Tarkista",0,M40*P3)</f>
        <v>784.32000000000016</v>
      </c>
      <c r="M40" s="36">
        <f>O9*Q40</f>
        <v>130.72000000000003</v>
      </c>
      <c r="N40" s="23">
        <f>N$14</f>
        <v>0.12491393554072597</v>
      </c>
      <c r="O40" s="269">
        <f>M40*N40</f>
        <v>16.328749653883701</v>
      </c>
      <c r="P40" s="297"/>
      <c r="Q40" s="23">
        <v>0.06</v>
      </c>
      <c r="S40" s="39"/>
      <c r="T40" s="39" t="s">
        <v>74</v>
      </c>
      <c r="U40" s="39"/>
      <c r="V40" s="382">
        <f>IF(P$3="Tarkista",0,O40*(1-Q$43)/(M$6/P$3)*100)</f>
        <v>8.0466570129118971</v>
      </c>
      <c r="W40" s="536">
        <f t="shared" si="17"/>
        <v>1.1820671357028354E-2</v>
      </c>
      <c r="X40" s="388">
        <f>Tuotantokustannusvertailu!N263</f>
        <v>0.68266666666666653</v>
      </c>
      <c r="Y40" s="538">
        <f t="shared" si="18"/>
        <v>1.0258929568581212E-2</v>
      </c>
      <c r="Z40" s="389">
        <f>Tuotantokustannusvertailu!AC263</f>
        <v>0.68266666666666653</v>
      </c>
      <c r="AA40" s="540">
        <f t="shared" si="19"/>
        <v>1.0258929568581212E-2</v>
      </c>
      <c r="AC40" s="561">
        <f t="shared" si="1"/>
        <v>8.0466570129118971</v>
      </c>
      <c r="AD40" s="561">
        <f t="shared" si="2"/>
        <v>0.68266666666666653</v>
      </c>
      <c r="AE40" s="561">
        <f t="shared" si="3"/>
        <v>7.363990346245231</v>
      </c>
      <c r="AF40" s="562">
        <f t="shared" si="20"/>
        <v>8.4838544201802063E-2</v>
      </c>
      <c r="AG40" s="564" t="str">
        <f>IF(AF40&lt;AG$13,"_","ovat pienemmät kuin vertailulaskelmassa")</f>
        <v>_</v>
      </c>
      <c r="AH40" s="564" t="str">
        <f>IF(AF40&gt;AH$13,"_","ovat suuremmat kuin vertailulaskelmassa")</f>
        <v>ovat suuremmat kuin vertailulaskelmassa</v>
      </c>
      <c r="AI40" s="564">
        <f t="shared" si="4"/>
        <v>0</v>
      </c>
      <c r="AK40" s="45" t="str">
        <f>T40</f>
        <v>Yleiskustannus</v>
      </c>
      <c r="AL40" s="44" t="str">
        <f t="shared" si="5"/>
        <v>ovat suuremmat kuin vertailulaskelmassa</v>
      </c>
      <c r="AN40" s="245"/>
    </row>
    <row r="41" spans="2:40" ht="15" thickBot="1" x14ac:dyDescent="0.4">
      <c r="B41" s="548" t="s">
        <v>678</v>
      </c>
      <c r="C41" s="545"/>
      <c r="D41" s="545"/>
      <c r="E41" s="550">
        <f>SUM(O14:O28)</f>
        <v>898.35134944607535</v>
      </c>
      <c r="F41" s="546">
        <f>SUM(Tuotantokustannusvertailu!G237:G251)</f>
        <v>150.86893929600001</v>
      </c>
      <c r="G41" s="547">
        <f>SUM(Tuotantokustannusvertailu!V237:V251)</f>
        <v>150.86893929600001</v>
      </c>
      <c r="H41" s="11"/>
      <c r="I41" s="11"/>
      <c r="J41" s="80"/>
      <c r="K41" s="39"/>
      <c r="L41" s="39"/>
      <c r="M41" s="39"/>
      <c r="N41" s="39"/>
      <c r="O41" s="89"/>
      <c r="P41" s="298"/>
      <c r="Q41" s="39"/>
      <c r="S41" s="39"/>
      <c r="T41" s="39"/>
      <c r="U41" s="39"/>
      <c r="V41" s="382"/>
      <c r="W41" s="382"/>
      <c r="X41" s="388"/>
      <c r="Y41" s="388"/>
      <c r="Z41" s="389"/>
      <c r="AA41" s="389"/>
      <c r="AC41" s="561"/>
      <c r="AD41" s="561"/>
      <c r="AE41" s="561"/>
      <c r="AF41" s="562"/>
      <c r="AK41" s="45"/>
      <c r="AN41" s="245"/>
    </row>
    <row r="42" spans="2:40" s="49" customFormat="1" ht="15" thickBot="1" x14ac:dyDescent="0.4">
      <c r="B42" s="551" t="s">
        <v>675</v>
      </c>
      <c r="C42" s="551"/>
      <c r="D42" s="551"/>
      <c r="E42" s="552">
        <f>E40-E41</f>
        <v>1280.3153172205916</v>
      </c>
      <c r="F42" s="553">
        <f>F40-F41</f>
        <v>5949.1310607039995</v>
      </c>
      <c r="G42" s="554">
        <f>G40-G41</f>
        <v>5949.1310607039995</v>
      </c>
      <c r="H42" s="665"/>
      <c r="I42" s="123"/>
      <c r="K42" s="39"/>
      <c r="L42" s="39"/>
      <c r="M42" s="39"/>
      <c r="N42" s="56" t="s">
        <v>526</v>
      </c>
      <c r="O42" s="271">
        <f>SUM(O14:O40)</f>
        <v>1381.3724416062823</v>
      </c>
      <c r="P42" s="298"/>
      <c r="Q42" s="39"/>
      <c r="S42" s="61" t="s">
        <v>506</v>
      </c>
      <c r="T42" s="77"/>
      <c r="U42" s="44"/>
      <c r="V42" s="383">
        <f>SUM(V15:V29,V31:V33,V36:V41)</f>
        <v>680.72758051322546</v>
      </c>
      <c r="W42" s="529"/>
      <c r="X42" s="405">
        <f>SUM(X15:X29,X31:X33,X36:X41)</f>
        <v>66.543654686682672</v>
      </c>
      <c r="Y42" s="532"/>
      <c r="Z42" s="406">
        <f>SUM(Z15:Z29,Z31:Z33,Z36:Z41)</f>
        <v>66.543654686682672</v>
      </c>
      <c r="AA42" s="533"/>
      <c r="AC42" s="561">
        <f t="shared" si="1"/>
        <v>680.72758051322546</v>
      </c>
      <c r="AD42" s="561">
        <f t="shared" si="2"/>
        <v>66.543654686682672</v>
      </c>
      <c r="AE42" s="561">
        <f t="shared" si="3"/>
        <v>614.1839258265428</v>
      </c>
      <c r="AF42" s="562">
        <f>AD42/AC42</f>
        <v>9.7753722034463433E-2</v>
      </c>
      <c r="AG42" s="564" t="str">
        <f>IF(AF42&lt;AG$13,"_","on pienempi kuin vertailulaskelmissa")</f>
        <v>_</v>
      </c>
      <c r="AH42" s="564" t="str">
        <f>IF(AF42&gt;AH$13,"_","on suurempi kuin vertailulaskelmissa")</f>
        <v>on suurempi kuin vertailulaskelmissa</v>
      </c>
      <c r="AI42" s="564">
        <f t="shared" si="4"/>
        <v>0</v>
      </c>
      <c r="AK42" s="45" t="str">
        <f>S42</f>
        <v xml:space="preserve">Tuotantokust. €/liha-kg </v>
      </c>
      <c r="AL42" s="44" t="str">
        <f t="shared" si="5"/>
        <v>on suurempi kuin vertailulaskelmissa</v>
      </c>
      <c r="AN42" s="245"/>
    </row>
    <row r="43" spans="2:40" s="49" customFormat="1" ht="15" thickBot="1" x14ac:dyDescent="0.4">
      <c r="B43" s="542" t="s">
        <v>679</v>
      </c>
      <c r="C43" s="545"/>
      <c r="D43" s="545"/>
      <c r="E43" s="550">
        <f>SUM(O31:O32)</f>
        <v>0</v>
      </c>
      <c r="F43" s="546">
        <f>SUM(Tuotantokustannusvertailu!G254:G255)</f>
        <v>2536.75</v>
      </c>
      <c r="G43" s="547">
        <f>SUM(Tuotantokustannusvertailu!V254:V255)</f>
        <v>2536.75</v>
      </c>
      <c r="H43" s="665"/>
      <c r="I43" s="123"/>
      <c r="K43" s="39"/>
      <c r="L43" s="39"/>
      <c r="M43" s="39"/>
      <c r="N43" s="56" t="s">
        <v>511</v>
      </c>
      <c r="O43" s="392">
        <f>(O5+O7)*Lähtötiedot!Q22</f>
        <v>203.19333514624759</v>
      </c>
      <c r="P43" s="298"/>
      <c r="Q43" s="381">
        <f>IF(O9=0,0,O43/O9)</f>
        <v>9.3264994712169938E-2</v>
      </c>
      <c r="S43" s="61"/>
      <c r="T43" s="384" t="s">
        <v>513</v>
      </c>
      <c r="U43" s="127"/>
      <c r="V43" s="404"/>
      <c r="W43" s="535"/>
      <c r="X43" s="405"/>
      <c r="Y43" s="532"/>
      <c r="Z43" s="406"/>
      <c r="AA43" s="533"/>
      <c r="AC43" s="424"/>
      <c r="AD43" s="424"/>
      <c r="AE43" s="424"/>
      <c r="AF43" s="424"/>
      <c r="AG43" s="564"/>
      <c r="AH43" s="564"/>
      <c r="AI43" s="564"/>
      <c r="AK43" s="45"/>
      <c r="AL43" s="44"/>
      <c r="AN43" s="245"/>
    </row>
    <row r="44" spans="2:40" s="49" customFormat="1" ht="15" thickBot="1" x14ac:dyDescent="0.4">
      <c r="B44" s="551" t="s">
        <v>676</v>
      </c>
      <c r="C44" s="551"/>
      <c r="D44" s="551"/>
      <c r="E44" s="552">
        <f>E42-E43</f>
        <v>1280.3153172205916</v>
      </c>
      <c r="F44" s="553">
        <f>F42-F43</f>
        <v>3412.3810607039995</v>
      </c>
      <c r="G44" s="554">
        <f>G42-G43</f>
        <v>3412.3810607039995</v>
      </c>
      <c r="H44" s="665"/>
      <c r="I44" s="123"/>
      <c r="K44" s="39"/>
      <c r="L44" s="39"/>
      <c r="M44" s="39"/>
      <c r="N44" s="56" t="s">
        <v>525</v>
      </c>
      <c r="O44" s="271">
        <f>O42-O43</f>
        <v>1178.1791064600347</v>
      </c>
      <c r="P44" s="379"/>
      <c r="Q44" s="380"/>
      <c r="S44" s="61"/>
      <c r="T44" s="384" t="s">
        <v>507</v>
      </c>
      <c r="U44" s="127"/>
      <c r="V44" s="404">
        <f>V42-V15+Q14</f>
        <v>482.29376586727113</v>
      </c>
      <c r="W44" s="535"/>
      <c r="X44" s="405"/>
      <c r="Y44" s="532"/>
      <c r="Z44" s="406"/>
      <c r="AA44" s="533"/>
      <c r="AC44" s="424"/>
      <c r="AD44" s="424"/>
      <c r="AE44" s="424"/>
      <c r="AF44" s="424"/>
      <c r="AG44" s="564"/>
      <c r="AH44" s="564"/>
      <c r="AI44" s="564"/>
      <c r="AK44" s="45"/>
      <c r="AL44" s="44"/>
      <c r="AN44" s="245"/>
    </row>
    <row r="45" spans="2:40" s="49" customFormat="1" x14ac:dyDescent="0.35">
      <c r="B45" s="548" t="s">
        <v>680</v>
      </c>
      <c r="C45" s="545"/>
      <c r="D45" s="545"/>
      <c r="E45" s="550">
        <f>SUM(O36:O40)</f>
        <v>483.0210921602071</v>
      </c>
      <c r="F45" s="546">
        <f>SUM(Tuotantokustannusvertailu!G259:G263)</f>
        <v>166.48000000000002</v>
      </c>
      <c r="G45" s="547">
        <f>SUM(Tuotantokustannusvertailu!V259:V263)</f>
        <v>166.48000000000002</v>
      </c>
      <c r="H45" s="665"/>
      <c r="I45" s="123"/>
      <c r="K45" s="39"/>
      <c r="L45" s="39"/>
      <c r="M45" s="39"/>
      <c r="N45" s="39"/>
      <c r="O45" s="39"/>
      <c r="P45" s="39"/>
      <c r="Q45" s="39"/>
      <c r="S45" s="61"/>
      <c r="T45" s="37" t="str">
        <f>CONCATENATE('Säilörehun tuotantokustannus'!N5," €/kg ka eli ",Q14," €/tuotettu liha-kg")</f>
        <v>0,12 €/kg ka eli 3,716 €/tuotettu liha-kg</v>
      </c>
      <c r="U45" s="37"/>
      <c r="V45" s="386"/>
      <c r="W45" s="37"/>
      <c r="X45" s="64"/>
      <c r="Y45" s="57"/>
      <c r="Z45" s="66"/>
      <c r="AA45" s="58"/>
      <c r="AC45" s="424"/>
      <c r="AD45" s="424"/>
      <c r="AE45" s="424"/>
      <c r="AF45" s="424"/>
      <c r="AG45" s="564"/>
      <c r="AH45" s="564"/>
      <c r="AI45" s="564"/>
      <c r="AK45" s="45"/>
      <c r="AL45" s="44"/>
      <c r="AN45" s="245"/>
    </row>
    <row r="46" spans="2:40" s="49" customFormat="1" x14ac:dyDescent="0.35">
      <c r="B46" s="551" t="s">
        <v>677</v>
      </c>
      <c r="C46" s="551"/>
      <c r="D46" s="551"/>
      <c r="E46" s="552">
        <f>E44-E45</f>
        <v>797.29422506038452</v>
      </c>
      <c r="F46" s="553">
        <f>F44-F45</f>
        <v>3245.9010607039995</v>
      </c>
      <c r="G46" s="554">
        <f>G44-G45</f>
        <v>3245.9010607039995</v>
      </c>
      <c r="H46" s="665"/>
      <c r="I46" s="123"/>
      <c r="K46" s="39"/>
      <c r="L46" s="39"/>
      <c r="M46" s="39"/>
      <c r="N46" s="39"/>
      <c r="O46" s="39"/>
      <c r="P46" s="39"/>
      <c r="Q46" s="39"/>
      <c r="S46" s="61"/>
      <c r="T46" s="77"/>
      <c r="U46" s="77"/>
      <c r="V46" s="62"/>
      <c r="W46" s="39"/>
      <c r="X46" s="64"/>
      <c r="Y46" s="57"/>
      <c r="Z46" s="66"/>
      <c r="AA46" s="58"/>
      <c r="AC46" s="424"/>
      <c r="AD46" s="424"/>
      <c r="AE46" s="424"/>
      <c r="AF46" s="424"/>
      <c r="AG46" s="564"/>
      <c r="AH46" s="564"/>
      <c r="AI46" s="564"/>
      <c r="AK46" s="46"/>
      <c r="AL46" s="44"/>
      <c r="AM46" s="80"/>
      <c r="AN46" s="245"/>
    </row>
    <row r="47" spans="2:40" s="49" customFormat="1" x14ac:dyDescent="0.35">
      <c r="R47" s="80"/>
      <c r="AB47" s="80"/>
      <c r="AC47" s="560"/>
      <c r="AD47" s="560"/>
      <c r="AE47" s="560"/>
      <c r="AF47" s="560"/>
      <c r="AG47" s="565"/>
      <c r="AH47" s="565"/>
      <c r="AI47" s="565"/>
      <c r="AJ47" s="80"/>
      <c r="AK47" s="81"/>
    </row>
    <row r="48" spans="2:40" s="49" customFormat="1" x14ac:dyDescent="0.35">
      <c r="B48" s="555"/>
      <c r="C48" s="555"/>
      <c r="D48" s="555"/>
      <c r="E48" s="556"/>
      <c r="F48" s="555"/>
      <c r="G48" s="555"/>
      <c r="H48" s="555"/>
      <c r="I48" s="80"/>
      <c r="K48" s="213"/>
      <c r="L48" s="213"/>
      <c r="M48" s="213"/>
      <c r="N48" s="213"/>
      <c r="O48" s="213"/>
      <c r="P48" s="213"/>
      <c r="Q48" s="213"/>
      <c r="X48" s="81"/>
      <c r="Y48" s="82"/>
      <c r="AC48" s="424"/>
      <c r="AD48" s="424"/>
      <c r="AE48" s="424"/>
      <c r="AF48" s="424"/>
      <c r="AG48" s="564"/>
      <c r="AH48" s="564"/>
      <c r="AI48" s="564"/>
      <c r="AK48" s="81"/>
    </row>
    <row r="49" spans="2:37" s="49" customFormat="1" x14ac:dyDescent="0.35">
      <c r="B49" s="213"/>
      <c r="C49" s="213"/>
      <c r="D49" s="213"/>
      <c r="E49" s="213"/>
      <c r="F49" s="213"/>
      <c r="G49" s="213"/>
      <c r="H49" s="213"/>
      <c r="I49" s="213"/>
      <c r="K49" s="313" t="str">
        <f>T15</f>
        <v xml:space="preserve">   Säilörehu</v>
      </c>
      <c r="L49" s="393">
        <f>V15</f>
        <v>202.14981464595434</v>
      </c>
      <c r="M49" s="213"/>
      <c r="N49" s="213"/>
      <c r="O49" s="213"/>
      <c r="P49" s="213"/>
      <c r="Q49" s="213"/>
      <c r="AC49" s="424"/>
      <c r="AD49" s="424"/>
      <c r="AE49" s="424"/>
      <c r="AF49" s="424"/>
      <c r="AG49" s="564"/>
      <c r="AH49" s="564"/>
      <c r="AI49" s="564"/>
      <c r="AK49" s="81"/>
    </row>
    <row r="50" spans="2:37" s="49" customFormat="1" x14ac:dyDescent="0.35">
      <c r="B50" s="213"/>
      <c r="C50" s="213"/>
      <c r="D50" s="213"/>
      <c r="E50" s="213"/>
      <c r="F50" s="213"/>
      <c r="G50" s="213"/>
      <c r="H50" s="213"/>
      <c r="I50" s="213"/>
      <c r="K50" s="313" t="str">
        <f>T16</f>
        <v xml:space="preserve">   Rehuvilja</v>
      </c>
      <c r="L50" s="393">
        <f>V16</f>
        <v>0</v>
      </c>
      <c r="M50" s="213"/>
      <c r="N50" s="213"/>
      <c r="O50" s="213"/>
      <c r="P50" s="213"/>
      <c r="Q50" s="213"/>
      <c r="AC50" s="424"/>
      <c r="AD50" s="424"/>
      <c r="AE50" s="424"/>
      <c r="AF50" s="424"/>
      <c r="AG50" s="564"/>
      <c r="AH50" s="564"/>
      <c r="AI50" s="564"/>
      <c r="AK50" s="81"/>
    </row>
    <row r="51" spans="2:37" s="49" customFormat="1" x14ac:dyDescent="0.35">
      <c r="B51" s="213"/>
      <c r="C51" s="213"/>
      <c r="D51" s="213"/>
      <c r="E51" s="213"/>
      <c r="F51" s="213"/>
      <c r="G51" s="213"/>
      <c r="H51" s="213"/>
      <c r="I51" s="213"/>
      <c r="K51" s="313" t="str">
        <f>T20</f>
        <v>Ostorehut</v>
      </c>
      <c r="L51" s="393">
        <f>V20</f>
        <v>20.518811232435478</v>
      </c>
      <c r="M51" s="213"/>
      <c r="N51" s="213"/>
      <c r="O51" s="213"/>
      <c r="P51" s="213"/>
      <c r="Q51" s="213"/>
      <c r="S51" s="83"/>
      <c r="T51" s="83"/>
      <c r="U51" s="83"/>
      <c r="V51" s="83"/>
      <c r="W51" s="83"/>
      <c r="X51" s="83"/>
      <c r="AC51" s="424"/>
      <c r="AD51" s="424"/>
      <c r="AE51" s="424"/>
      <c r="AF51" s="424"/>
      <c r="AG51" s="564"/>
      <c r="AH51" s="564"/>
      <c r="AI51" s="564"/>
      <c r="AK51" s="81"/>
    </row>
    <row r="52" spans="2:37" s="49" customFormat="1" x14ac:dyDescent="0.35">
      <c r="B52" s="213"/>
      <c r="C52" s="213"/>
      <c r="D52" s="213"/>
      <c r="E52" s="213"/>
      <c r="F52" s="213"/>
      <c r="G52" s="213"/>
      <c r="H52" s="213"/>
      <c r="I52" s="213"/>
      <c r="K52" s="313" t="str">
        <f>T26</f>
        <v>Eläinten ostot</v>
      </c>
      <c r="L52" s="393">
        <f>V26</f>
        <v>0</v>
      </c>
      <c r="M52" s="213"/>
      <c r="N52" s="213"/>
      <c r="O52" s="213"/>
      <c r="P52" s="213"/>
      <c r="Q52" s="213"/>
      <c r="S52" s="83"/>
      <c r="T52" s="83"/>
      <c r="U52" s="83" t="str">
        <f>V12</f>
        <v>Oma laskelma</v>
      </c>
      <c r="V52" s="83" t="str">
        <f>X12</f>
        <v>Hyvä</v>
      </c>
      <c r="W52" s="83" t="str">
        <f>Z12</f>
        <v>Erinomainen</v>
      </c>
      <c r="X52" s="83"/>
      <c r="AC52" s="424"/>
      <c r="AD52" s="424"/>
      <c r="AE52" s="424"/>
      <c r="AF52" s="424"/>
      <c r="AG52" s="564"/>
      <c r="AH52" s="564"/>
      <c r="AI52" s="564"/>
      <c r="AK52" s="81"/>
    </row>
    <row r="53" spans="2:37" s="49" customFormat="1" x14ac:dyDescent="0.35">
      <c r="B53" s="213"/>
      <c r="C53" s="213"/>
      <c r="D53" s="213"/>
      <c r="E53" s="213"/>
      <c r="F53" s="213"/>
      <c r="G53" s="213"/>
      <c r="H53" s="213"/>
      <c r="I53" s="213"/>
      <c r="K53" s="212" t="s">
        <v>510</v>
      </c>
      <c r="L53" s="393">
        <f>V14-SUM(L49:L52)</f>
        <v>220.03062172504295</v>
      </c>
      <c r="M53" s="213"/>
      <c r="N53" s="213"/>
      <c r="O53" s="213"/>
      <c r="P53" s="213"/>
      <c r="Q53" s="213"/>
      <c r="S53" s="83"/>
      <c r="T53" s="84" t="str">
        <f>S14</f>
        <v>Muuttuvat kustannukset</v>
      </c>
      <c r="U53" s="557">
        <f>V14</f>
        <v>442.69924760343275</v>
      </c>
      <c r="V53" s="557">
        <f>X14</f>
        <v>3.5175271821289615</v>
      </c>
      <c r="W53" s="557">
        <f>Z14</f>
        <v>3.5175271821289615</v>
      </c>
      <c r="X53" s="83"/>
      <c r="AC53" s="424"/>
      <c r="AD53" s="424"/>
      <c r="AE53" s="424"/>
      <c r="AF53" s="424"/>
      <c r="AG53" s="564"/>
      <c r="AH53" s="564"/>
      <c r="AI53" s="564"/>
      <c r="AK53" s="81"/>
    </row>
    <row r="54" spans="2:37" s="49" customFormat="1" x14ac:dyDescent="0.35">
      <c r="B54" s="213"/>
      <c r="C54" s="213"/>
      <c r="D54" s="213"/>
      <c r="E54" s="213"/>
      <c r="F54" s="213"/>
      <c r="G54" s="213"/>
      <c r="H54" s="213"/>
      <c r="I54" s="213"/>
      <c r="K54" s="313" t="str">
        <f>S30</f>
        <v>Työkustannus</v>
      </c>
      <c r="L54" s="393">
        <f>V30</f>
        <v>0</v>
      </c>
      <c r="M54" s="213"/>
      <c r="N54" s="213"/>
      <c r="O54" s="213"/>
      <c r="P54" s="213"/>
      <c r="Q54" s="213"/>
      <c r="S54" s="83"/>
      <c r="T54" s="84" t="str">
        <f>S30</f>
        <v>Työkustannus</v>
      </c>
      <c r="U54" s="557">
        <f>V30</f>
        <v>0</v>
      </c>
      <c r="V54" s="557">
        <f>X30</f>
        <v>59.144626593806919</v>
      </c>
      <c r="W54" s="557">
        <f>Z30</f>
        <v>59.144626593806919</v>
      </c>
      <c r="X54" s="83"/>
      <c r="AC54" s="424"/>
      <c r="AD54" s="424"/>
      <c r="AE54" s="424"/>
      <c r="AF54" s="424"/>
      <c r="AG54" s="564"/>
      <c r="AH54" s="564"/>
      <c r="AI54" s="564"/>
      <c r="AK54" s="81"/>
    </row>
    <row r="55" spans="2:37" s="49" customFormat="1" x14ac:dyDescent="0.35">
      <c r="B55" s="213"/>
      <c r="C55" s="213"/>
      <c r="D55" s="213"/>
      <c r="E55" s="213"/>
      <c r="F55" s="213"/>
      <c r="G55" s="213"/>
      <c r="H55" s="213"/>
      <c r="I55" s="213"/>
      <c r="K55" s="313" t="str">
        <f>S35</f>
        <v>Kiinteät kustannukset</v>
      </c>
      <c r="L55" s="393">
        <f>V35</f>
        <v>238.02833290979288</v>
      </c>
      <c r="M55" s="213"/>
      <c r="N55" s="213"/>
      <c r="O55" s="213"/>
      <c r="P55" s="213"/>
      <c r="Q55" s="213"/>
      <c r="S55" s="83"/>
      <c r="T55" s="84" t="str">
        <f>S35</f>
        <v>Kiinteät kustannukset</v>
      </c>
      <c r="U55" s="557">
        <f>V35</f>
        <v>238.02833290979288</v>
      </c>
      <c r="V55" s="557">
        <f>X35</f>
        <v>3.8815009107468117</v>
      </c>
      <c r="W55" s="557">
        <f>Z35</f>
        <v>3.8815009107468117</v>
      </c>
      <c r="X55" s="83"/>
      <c r="AC55" s="424"/>
      <c r="AD55" s="424"/>
      <c r="AE55" s="424"/>
      <c r="AF55" s="424"/>
      <c r="AG55" s="564"/>
      <c r="AH55" s="564"/>
      <c r="AI55" s="564"/>
      <c r="AK55" s="81"/>
    </row>
    <row r="56" spans="2:37" s="49" customFormat="1" x14ac:dyDescent="0.35">
      <c r="B56" s="213"/>
      <c r="C56" s="213"/>
      <c r="D56" s="213"/>
      <c r="E56" s="213"/>
      <c r="F56" s="213"/>
      <c r="G56" s="213"/>
      <c r="H56" s="213"/>
      <c r="I56" s="213"/>
      <c r="K56" s="213"/>
      <c r="L56" s="213"/>
      <c r="M56" s="213"/>
      <c r="N56" s="213"/>
      <c r="O56" s="213"/>
      <c r="P56" s="213"/>
      <c r="Q56" s="213"/>
      <c r="AC56" s="424"/>
      <c r="AD56" s="424"/>
      <c r="AE56" s="424"/>
      <c r="AF56" s="424"/>
      <c r="AG56" s="564"/>
      <c r="AH56" s="564"/>
      <c r="AI56" s="564"/>
      <c r="AK56" s="81"/>
    </row>
    <row r="57" spans="2:37" s="49" customFormat="1" x14ac:dyDescent="0.35">
      <c r="B57" s="213"/>
      <c r="C57" s="213"/>
      <c r="D57" s="213"/>
      <c r="E57" s="213"/>
      <c r="F57" s="213"/>
      <c r="G57" s="213"/>
      <c r="H57" s="213"/>
      <c r="I57" s="213"/>
      <c r="K57" s="213"/>
      <c r="L57" s="213"/>
      <c r="M57" s="213"/>
      <c r="N57" s="213"/>
      <c r="O57" s="213"/>
      <c r="P57" s="213"/>
      <c r="Q57" s="213"/>
      <c r="AC57" s="424"/>
      <c r="AD57" s="424"/>
      <c r="AE57" s="424"/>
      <c r="AF57" s="424"/>
      <c r="AG57" s="564"/>
      <c r="AH57" s="564"/>
      <c r="AI57" s="564"/>
      <c r="AK57" s="81"/>
    </row>
    <row r="58" spans="2:37" s="49" customFormat="1" x14ac:dyDescent="0.35">
      <c r="B58" s="213"/>
      <c r="C58" s="213"/>
      <c r="D58" s="213"/>
      <c r="E58" s="213"/>
      <c r="F58" s="213"/>
      <c r="G58" s="213"/>
      <c r="H58" s="213"/>
      <c r="I58" s="213"/>
      <c r="K58" s="213"/>
      <c r="L58" s="213"/>
      <c r="M58" s="213"/>
      <c r="N58" s="213"/>
      <c r="O58" s="213"/>
      <c r="P58" s="213"/>
      <c r="Q58" s="213"/>
      <c r="AC58" s="424"/>
      <c r="AD58" s="424"/>
      <c r="AE58" s="424"/>
      <c r="AF58" s="424"/>
      <c r="AG58" s="564"/>
      <c r="AH58" s="564"/>
      <c r="AI58" s="564"/>
      <c r="AK58" s="81"/>
    </row>
    <row r="59" spans="2:37" s="49" customFormat="1" x14ac:dyDescent="0.35">
      <c r="B59" s="213"/>
      <c r="C59" s="213"/>
      <c r="D59" s="213"/>
      <c r="E59" s="213"/>
      <c r="F59" s="213"/>
      <c r="G59" s="213"/>
      <c r="H59" s="213"/>
      <c r="I59" s="213"/>
      <c r="K59" s="213"/>
      <c r="L59" s="213"/>
      <c r="M59" s="213"/>
      <c r="N59" s="213"/>
      <c r="O59" s="213"/>
      <c r="P59" s="213"/>
      <c r="Q59" s="213"/>
      <c r="AC59" s="424"/>
      <c r="AD59" s="424"/>
      <c r="AE59" s="424"/>
      <c r="AF59" s="424"/>
      <c r="AG59" s="564"/>
      <c r="AH59" s="564"/>
      <c r="AI59" s="564"/>
      <c r="AK59" s="81"/>
    </row>
    <row r="60" spans="2:37" s="49" customFormat="1" x14ac:dyDescent="0.35">
      <c r="B60" s="213"/>
      <c r="C60" s="213"/>
      <c r="D60" s="213"/>
      <c r="E60" s="213"/>
      <c r="F60" s="213"/>
      <c r="G60" s="213"/>
      <c r="H60" s="213"/>
      <c r="I60" s="213"/>
      <c r="K60" s="213"/>
      <c r="L60" s="213"/>
      <c r="M60" s="213"/>
      <c r="N60" s="213"/>
      <c r="O60" s="213"/>
      <c r="P60" s="213"/>
      <c r="Q60" s="213"/>
      <c r="AC60" s="424"/>
      <c r="AD60" s="424"/>
      <c r="AE60" s="424"/>
      <c r="AF60" s="424"/>
      <c r="AG60" s="564"/>
      <c r="AH60" s="564"/>
      <c r="AI60" s="564"/>
      <c r="AK60" s="81"/>
    </row>
    <row r="61" spans="2:37" s="49" customFormat="1" x14ac:dyDescent="0.35">
      <c r="B61" s="213"/>
      <c r="C61" s="213"/>
      <c r="D61" s="213"/>
      <c r="E61" s="213"/>
      <c r="F61" s="213"/>
      <c r="G61" s="213"/>
      <c r="H61" s="213"/>
      <c r="I61" s="213"/>
      <c r="K61" s="213"/>
      <c r="L61" s="213"/>
      <c r="M61" s="213"/>
      <c r="N61" s="213"/>
      <c r="O61" s="213"/>
      <c r="P61" s="213"/>
      <c r="Q61" s="213"/>
      <c r="AC61" s="424"/>
      <c r="AD61" s="424"/>
      <c r="AE61" s="424"/>
      <c r="AF61" s="424"/>
      <c r="AG61" s="564"/>
      <c r="AH61" s="564"/>
      <c r="AI61" s="564"/>
      <c r="AK61" s="81"/>
    </row>
    <row r="62" spans="2:37" s="49" customFormat="1" x14ac:dyDescent="0.35">
      <c r="B62" s="213"/>
      <c r="C62" s="213"/>
      <c r="D62" s="213"/>
      <c r="E62" s="213"/>
      <c r="F62" s="213"/>
      <c r="G62" s="213"/>
      <c r="H62" s="213"/>
      <c r="I62" s="213"/>
      <c r="K62" s="213"/>
      <c r="L62" s="213"/>
      <c r="M62" s="213"/>
      <c r="N62" s="213"/>
      <c r="O62" s="213"/>
      <c r="P62" s="213"/>
      <c r="Q62" s="213"/>
      <c r="AC62" s="424"/>
      <c r="AD62" s="424"/>
      <c r="AE62" s="424"/>
      <c r="AF62" s="424"/>
      <c r="AG62" s="564"/>
      <c r="AH62" s="564"/>
      <c r="AI62" s="564"/>
      <c r="AK62" s="81"/>
    </row>
    <row r="63" spans="2:37" s="49" customFormat="1" x14ac:dyDescent="0.35">
      <c r="B63" s="213"/>
      <c r="C63" s="213"/>
      <c r="D63" s="213"/>
      <c r="E63" s="213"/>
      <c r="F63" s="213"/>
      <c r="G63" s="213"/>
      <c r="H63" s="213"/>
      <c r="I63" s="213"/>
      <c r="K63" s="213"/>
      <c r="L63" s="213"/>
      <c r="M63" s="213"/>
      <c r="N63" s="213"/>
      <c r="O63" s="213"/>
      <c r="P63" s="213"/>
      <c r="Q63" s="213"/>
      <c r="AC63" s="424"/>
      <c r="AD63" s="424"/>
      <c r="AE63" s="424"/>
      <c r="AF63" s="424"/>
      <c r="AG63" s="564"/>
      <c r="AH63" s="564"/>
      <c r="AI63" s="564"/>
      <c r="AK63" s="81"/>
    </row>
    <row r="64" spans="2:37" s="49" customFormat="1" x14ac:dyDescent="0.35">
      <c r="B64" s="213"/>
      <c r="C64" s="213"/>
      <c r="D64" s="213"/>
      <c r="E64" s="213"/>
      <c r="F64" s="213"/>
      <c r="G64" s="213"/>
      <c r="H64" s="213"/>
      <c r="I64" s="213"/>
      <c r="K64" s="213"/>
      <c r="L64" s="213"/>
      <c r="M64" s="213"/>
      <c r="N64" s="213"/>
      <c r="O64" s="213"/>
      <c r="P64" s="213"/>
      <c r="Q64" s="213"/>
      <c r="AC64" s="424"/>
      <c r="AD64" s="424"/>
      <c r="AE64" s="424"/>
      <c r="AF64" s="424"/>
      <c r="AG64" s="564"/>
      <c r="AH64" s="564"/>
      <c r="AI64" s="564"/>
      <c r="AK64" s="81"/>
    </row>
    <row r="65" spans="2:37" s="49" customFormat="1" x14ac:dyDescent="0.35">
      <c r="B65" s="213"/>
      <c r="C65" s="213"/>
      <c r="D65" s="213"/>
      <c r="E65" s="213"/>
      <c r="F65" s="213"/>
      <c r="G65" s="213"/>
      <c r="H65" s="213"/>
      <c r="I65" s="213"/>
      <c r="K65" s="213"/>
      <c r="L65" s="213"/>
      <c r="M65" s="213"/>
      <c r="N65" s="213"/>
      <c r="O65" s="213"/>
      <c r="P65" s="213"/>
      <c r="Q65" s="213"/>
      <c r="AC65" s="424"/>
      <c r="AD65" s="424"/>
      <c r="AE65" s="424"/>
      <c r="AF65" s="424"/>
      <c r="AG65" s="564"/>
      <c r="AH65" s="564"/>
      <c r="AI65" s="564"/>
      <c r="AK65" s="81"/>
    </row>
    <row r="66" spans="2:37" s="49" customFormat="1" x14ac:dyDescent="0.35">
      <c r="B66" s="213"/>
      <c r="C66" s="213"/>
      <c r="D66" s="213"/>
      <c r="E66" s="213"/>
      <c r="F66" s="213"/>
      <c r="G66" s="213"/>
      <c r="H66" s="213"/>
      <c r="I66" s="213"/>
      <c r="K66" s="213"/>
      <c r="L66" s="213"/>
      <c r="M66" s="213"/>
      <c r="N66" s="213"/>
      <c r="O66" s="213"/>
      <c r="P66" s="213"/>
      <c r="Q66" s="213"/>
      <c r="AC66" s="424"/>
      <c r="AD66" s="424"/>
      <c r="AE66" s="424"/>
      <c r="AF66" s="424"/>
      <c r="AG66" s="564"/>
      <c r="AH66" s="564"/>
      <c r="AI66" s="564"/>
      <c r="AK66" s="81"/>
    </row>
    <row r="67" spans="2:37" s="49" customFormat="1" x14ac:dyDescent="0.35">
      <c r="B67" s="213"/>
      <c r="C67" s="213"/>
      <c r="D67" s="213"/>
      <c r="E67" s="213"/>
      <c r="F67" s="213"/>
      <c r="G67" s="213"/>
      <c r="H67" s="213"/>
      <c r="I67" s="213"/>
      <c r="K67" s="213"/>
      <c r="L67" s="213"/>
      <c r="M67" s="213"/>
      <c r="N67" s="213"/>
      <c r="O67" s="213"/>
      <c r="P67" s="213"/>
      <c r="Q67" s="213"/>
      <c r="AC67" s="424"/>
      <c r="AD67" s="424"/>
      <c r="AE67" s="424"/>
      <c r="AF67" s="424"/>
      <c r="AG67" s="564"/>
      <c r="AH67" s="564"/>
      <c r="AI67" s="564"/>
      <c r="AK67" s="81"/>
    </row>
    <row r="68" spans="2:37" s="49" customFormat="1" x14ac:dyDescent="0.35">
      <c r="AC68" s="424"/>
      <c r="AD68" s="424"/>
      <c r="AE68" s="424"/>
      <c r="AF68" s="424"/>
      <c r="AG68" s="564"/>
      <c r="AH68" s="564"/>
      <c r="AI68" s="564"/>
      <c r="AK68" s="81"/>
    </row>
    <row r="69" spans="2:37" s="49" customFormat="1" x14ac:dyDescent="0.35">
      <c r="AC69" s="424"/>
      <c r="AD69" s="424"/>
      <c r="AE69" s="424"/>
      <c r="AF69" s="424"/>
      <c r="AG69" s="564"/>
      <c r="AH69" s="564"/>
      <c r="AI69" s="564"/>
      <c r="AK69" s="81"/>
    </row>
    <row r="70" spans="2:37" s="49" customFormat="1" x14ac:dyDescent="0.35">
      <c r="AC70" s="424"/>
      <c r="AD70" s="424"/>
      <c r="AE70" s="424"/>
      <c r="AF70" s="424"/>
      <c r="AG70" s="564"/>
      <c r="AH70" s="564"/>
      <c r="AI70" s="564"/>
      <c r="AK70" s="81"/>
    </row>
    <row r="71" spans="2:37" s="49" customFormat="1" x14ac:dyDescent="0.35">
      <c r="AC71" s="424"/>
      <c r="AD71" s="424"/>
      <c r="AE71" s="424"/>
      <c r="AF71" s="424"/>
      <c r="AG71" s="564"/>
      <c r="AH71" s="564"/>
      <c r="AI71" s="564"/>
      <c r="AK71" s="81"/>
    </row>
    <row r="72" spans="2:37" s="49" customFormat="1" x14ac:dyDescent="0.35">
      <c r="AC72" s="424"/>
      <c r="AD72" s="424"/>
      <c r="AE72" s="424"/>
      <c r="AF72" s="424"/>
      <c r="AG72" s="564"/>
      <c r="AH72" s="564"/>
      <c r="AI72" s="564"/>
      <c r="AK72" s="81"/>
    </row>
    <row r="73" spans="2:37" s="49" customFormat="1" x14ac:dyDescent="0.35">
      <c r="AC73" s="424"/>
      <c r="AD73" s="424"/>
      <c r="AE73" s="424"/>
      <c r="AF73" s="424"/>
      <c r="AG73" s="564"/>
      <c r="AH73" s="564"/>
      <c r="AI73" s="564"/>
      <c r="AK73" s="81"/>
    </row>
    <row r="74" spans="2:37" s="49" customFormat="1" x14ac:dyDescent="0.35">
      <c r="AC74" s="424"/>
      <c r="AD74" s="424"/>
      <c r="AE74" s="424"/>
      <c r="AF74" s="424"/>
      <c r="AG74" s="564"/>
      <c r="AH74" s="564"/>
      <c r="AI74" s="564"/>
      <c r="AK74" s="81"/>
    </row>
    <row r="75" spans="2:37" s="49" customFormat="1" x14ac:dyDescent="0.35">
      <c r="AC75" s="424"/>
      <c r="AD75" s="424"/>
      <c r="AE75" s="424"/>
      <c r="AF75" s="424"/>
      <c r="AG75" s="564"/>
      <c r="AH75" s="564"/>
      <c r="AI75" s="564"/>
      <c r="AK75" s="81"/>
    </row>
    <row r="76" spans="2:37" s="49" customFormat="1" x14ac:dyDescent="0.35">
      <c r="AC76" s="424"/>
      <c r="AD76" s="424"/>
      <c r="AE76" s="424"/>
      <c r="AF76" s="424"/>
      <c r="AG76" s="564"/>
      <c r="AH76" s="564"/>
      <c r="AI76" s="564"/>
      <c r="AK76" s="81"/>
    </row>
    <row r="77" spans="2:37" s="49" customFormat="1" x14ac:dyDescent="0.35">
      <c r="AC77" s="424"/>
      <c r="AD77" s="424"/>
      <c r="AE77" s="424"/>
      <c r="AF77" s="424"/>
      <c r="AG77" s="564"/>
      <c r="AH77" s="564"/>
      <c r="AI77" s="564"/>
      <c r="AK77" s="81"/>
    </row>
    <row r="78" spans="2:37" s="49" customFormat="1" x14ac:dyDescent="0.35">
      <c r="W78" s="212"/>
      <c r="X78" s="212"/>
      <c r="Y78" s="212"/>
      <c r="Z78" s="212"/>
      <c r="AA78" s="212"/>
      <c r="AC78" s="424"/>
      <c r="AD78" s="424"/>
      <c r="AE78" s="424"/>
      <c r="AF78" s="424"/>
      <c r="AG78" s="564"/>
      <c r="AH78" s="564"/>
      <c r="AI78" s="564"/>
      <c r="AK78" s="81"/>
    </row>
    <row r="79" spans="2:37" s="49" customFormat="1" x14ac:dyDescent="0.35">
      <c r="W79" s="213"/>
      <c r="X79" s="213"/>
      <c r="Y79" s="213"/>
      <c r="Z79" s="213"/>
      <c r="AA79" s="213"/>
      <c r="AC79" s="424"/>
      <c r="AD79" s="424"/>
      <c r="AE79" s="424"/>
      <c r="AF79" s="424"/>
      <c r="AG79" s="564"/>
      <c r="AH79" s="564"/>
      <c r="AI79" s="564"/>
      <c r="AK79" s="81"/>
    </row>
    <row r="80" spans="2:37" s="49" customFormat="1" x14ac:dyDescent="0.35">
      <c r="W80" s="213"/>
      <c r="X80" s="213"/>
      <c r="Y80" s="213"/>
      <c r="Z80" s="213"/>
      <c r="AA80" s="213"/>
      <c r="AC80" s="424"/>
      <c r="AD80" s="424"/>
      <c r="AE80" s="424"/>
      <c r="AF80" s="424"/>
      <c r="AG80" s="564"/>
      <c r="AH80" s="564"/>
      <c r="AI80" s="564"/>
      <c r="AK80" s="81"/>
    </row>
    <row r="81" spans="23:37" s="49" customFormat="1" x14ac:dyDescent="0.35">
      <c r="W81" s="213"/>
      <c r="X81" s="213"/>
      <c r="Y81" s="213"/>
      <c r="Z81" s="213"/>
      <c r="AA81" s="213"/>
      <c r="AC81" s="424"/>
      <c r="AD81" s="424"/>
      <c r="AE81" s="424"/>
      <c r="AF81" s="424"/>
      <c r="AG81" s="564"/>
      <c r="AH81" s="564"/>
      <c r="AI81" s="564"/>
      <c r="AK81" s="81"/>
    </row>
    <row r="82" spans="23:37" s="49" customFormat="1" x14ac:dyDescent="0.35">
      <c r="W82" s="213"/>
      <c r="X82" s="213"/>
      <c r="Y82" s="213"/>
      <c r="Z82" s="213"/>
      <c r="AA82" s="213"/>
      <c r="AC82" s="424"/>
      <c r="AD82" s="424"/>
      <c r="AE82" s="424"/>
      <c r="AF82" s="424"/>
      <c r="AG82" s="564"/>
      <c r="AH82" s="564"/>
      <c r="AI82" s="564"/>
      <c r="AK82" s="81"/>
    </row>
    <row r="83" spans="23:37" s="49" customFormat="1" x14ac:dyDescent="0.35">
      <c r="W83" s="213"/>
      <c r="X83" s="213"/>
      <c r="Y83" s="213"/>
      <c r="Z83" s="213"/>
      <c r="AA83" s="213"/>
      <c r="AC83" s="424"/>
      <c r="AD83" s="424"/>
      <c r="AE83" s="424"/>
      <c r="AF83" s="424"/>
      <c r="AG83" s="564"/>
      <c r="AH83" s="564"/>
      <c r="AI83" s="564"/>
      <c r="AK83" s="81"/>
    </row>
    <row r="84" spans="23:37" s="49" customFormat="1" x14ac:dyDescent="0.35">
      <c r="AC84" s="424"/>
      <c r="AD84" s="424"/>
      <c r="AE84" s="424"/>
      <c r="AF84" s="424"/>
      <c r="AG84" s="564"/>
      <c r="AH84" s="564"/>
      <c r="AI84" s="564"/>
      <c r="AK84" s="81"/>
    </row>
    <row r="85" spans="23:37" s="49" customFormat="1" x14ac:dyDescent="0.35">
      <c r="AC85" s="424"/>
      <c r="AD85" s="424"/>
      <c r="AE85" s="424"/>
      <c r="AF85" s="424"/>
      <c r="AG85" s="564"/>
      <c r="AH85" s="564"/>
      <c r="AI85" s="564"/>
      <c r="AK85" s="81"/>
    </row>
    <row r="86" spans="23:37" s="49" customFormat="1" x14ac:dyDescent="0.35">
      <c r="AC86" s="424"/>
      <c r="AD86" s="424"/>
      <c r="AE86" s="424"/>
      <c r="AF86" s="424"/>
      <c r="AG86" s="564"/>
      <c r="AH86" s="564"/>
      <c r="AI86" s="564"/>
      <c r="AK86" s="81"/>
    </row>
    <row r="87" spans="23:37" s="49" customFormat="1" x14ac:dyDescent="0.35">
      <c r="AC87" s="424"/>
      <c r="AD87" s="424"/>
      <c r="AE87" s="424"/>
      <c r="AF87" s="424"/>
      <c r="AG87" s="564"/>
      <c r="AH87" s="564"/>
      <c r="AI87" s="564"/>
      <c r="AK87" s="81"/>
    </row>
    <row r="88" spans="23:37" s="49" customFormat="1" x14ac:dyDescent="0.35">
      <c r="AC88" s="424"/>
      <c r="AD88" s="424"/>
      <c r="AE88" s="424"/>
      <c r="AF88" s="424"/>
      <c r="AG88" s="564"/>
      <c r="AH88" s="564"/>
      <c r="AI88" s="564"/>
      <c r="AK88" s="81"/>
    </row>
    <row r="89" spans="23:37" s="49" customFormat="1" x14ac:dyDescent="0.35">
      <c r="AC89" s="424"/>
      <c r="AD89" s="424"/>
      <c r="AE89" s="424"/>
      <c r="AF89" s="424"/>
      <c r="AG89" s="564"/>
      <c r="AH89" s="564"/>
      <c r="AI89" s="564"/>
      <c r="AK89" s="81"/>
    </row>
    <row r="90" spans="23:37" s="49" customFormat="1" x14ac:dyDescent="0.35">
      <c r="AC90" s="424"/>
      <c r="AD90" s="424"/>
      <c r="AE90" s="424"/>
      <c r="AF90" s="424"/>
      <c r="AG90" s="564"/>
      <c r="AH90" s="564"/>
      <c r="AI90" s="564"/>
      <c r="AK90" s="81"/>
    </row>
    <row r="91" spans="23:37" s="49" customFormat="1" x14ac:dyDescent="0.35">
      <c r="AC91" s="424"/>
      <c r="AD91" s="424"/>
      <c r="AE91" s="424"/>
      <c r="AF91" s="424"/>
      <c r="AG91" s="564"/>
      <c r="AH91" s="564"/>
      <c r="AI91" s="564"/>
      <c r="AK91" s="81"/>
    </row>
    <row r="92" spans="23:37" s="49" customFormat="1" x14ac:dyDescent="0.35">
      <c r="AC92" s="424"/>
      <c r="AD92" s="424"/>
      <c r="AE92" s="424"/>
      <c r="AF92" s="424"/>
      <c r="AG92" s="564"/>
      <c r="AH92" s="564"/>
      <c r="AI92" s="564"/>
      <c r="AK92" s="81"/>
    </row>
    <row r="93" spans="23:37" s="49" customFormat="1" x14ac:dyDescent="0.35">
      <c r="AC93" s="424"/>
      <c r="AD93" s="424"/>
      <c r="AE93" s="424"/>
      <c r="AF93" s="424"/>
      <c r="AG93" s="564"/>
      <c r="AH93" s="564"/>
      <c r="AI93" s="564"/>
      <c r="AK93" s="81"/>
    </row>
    <row r="94" spans="23:37" s="49" customFormat="1" x14ac:dyDescent="0.35">
      <c r="AC94" s="424"/>
      <c r="AD94" s="424"/>
      <c r="AE94" s="424"/>
      <c r="AF94" s="424"/>
      <c r="AG94" s="564"/>
      <c r="AH94" s="564"/>
      <c r="AI94" s="564"/>
      <c r="AK94" s="81"/>
    </row>
    <row r="95" spans="23:37" s="49" customFormat="1" x14ac:dyDescent="0.35">
      <c r="AC95" s="424"/>
      <c r="AD95" s="424"/>
      <c r="AE95" s="424"/>
      <c r="AF95" s="424"/>
      <c r="AG95" s="564"/>
      <c r="AH95" s="564"/>
      <c r="AI95" s="564"/>
      <c r="AK95" s="81"/>
    </row>
    <row r="96" spans="23:37" s="49" customFormat="1" x14ac:dyDescent="0.35">
      <c r="AC96" s="424"/>
      <c r="AD96" s="424"/>
      <c r="AE96" s="424"/>
      <c r="AF96" s="424"/>
      <c r="AG96" s="564"/>
      <c r="AH96" s="564"/>
      <c r="AI96" s="564"/>
      <c r="AK96" s="81"/>
    </row>
    <row r="97" spans="29:37" s="49" customFormat="1" x14ac:dyDescent="0.35">
      <c r="AC97" s="424"/>
      <c r="AD97" s="424"/>
      <c r="AE97" s="424"/>
      <c r="AF97" s="424"/>
      <c r="AG97" s="564"/>
      <c r="AH97" s="564"/>
      <c r="AI97" s="564"/>
      <c r="AK97" s="81"/>
    </row>
    <row r="98" spans="29:37" s="49" customFormat="1" x14ac:dyDescent="0.35">
      <c r="AC98" s="424"/>
      <c r="AD98" s="424"/>
      <c r="AE98" s="424"/>
      <c r="AF98" s="424"/>
      <c r="AG98" s="564"/>
      <c r="AH98" s="564"/>
      <c r="AI98" s="564"/>
      <c r="AK98" s="81"/>
    </row>
    <row r="99" spans="29:37" s="49" customFormat="1" x14ac:dyDescent="0.35">
      <c r="AC99" s="424"/>
      <c r="AD99" s="424"/>
      <c r="AE99" s="424"/>
      <c r="AF99" s="424"/>
      <c r="AG99" s="564"/>
      <c r="AH99" s="564"/>
      <c r="AI99" s="564"/>
      <c r="AK99" s="81"/>
    </row>
    <row r="100" spans="29:37" s="49" customFormat="1" x14ac:dyDescent="0.35">
      <c r="AC100" s="424"/>
      <c r="AD100" s="424"/>
      <c r="AE100" s="424"/>
      <c r="AF100" s="424"/>
      <c r="AG100" s="564"/>
      <c r="AH100" s="564"/>
      <c r="AI100" s="564"/>
      <c r="AK100" s="81"/>
    </row>
    <row r="101" spans="29:37" s="49" customFormat="1" x14ac:dyDescent="0.35">
      <c r="AC101" s="424"/>
      <c r="AD101" s="424"/>
      <c r="AE101" s="424"/>
      <c r="AF101" s="424"/>
      <c r="AG101" s="564"/>
      <c r="AH101" s="564"/>
      <c r="AI101" s="564"/>
      <c r="AK101" s="81"/>
    </row>
    <row r="102" spans="29:37" s="49" customFormat="1" x14ac:dyDescent="0.35">
      <c r="AC102" s="424"/>
      <c r="AD102" s="424"/>
      <c r="AE102" s="424"/>
      <c r="AF102" s="424"/>
      <c r="AG102" s="564"/>
      <c r="AH102" s="564"/>
      <c r="AI102" s="564"/>
      <c r="AK102" s="81"/>
    </row>
    <row r="103" spans="29:37" s="49" customFormat="1" x14ac:dyDescent="0.35">
      <c r="AC103" s="424"/>
      <c r="AD103" s="424"/>
      <c r="AE103" s="424"/>
      <c r="AF103" s="424"/>
      <c r="AG103" s="564"/>
      <c r="AH103" s="564"/>
      <c r="AI103" s="564"/>
      <c r="AK103" s="81"/>
    </row>
    <row r="104" spans="29:37" s="49" customFormat="1" x14ac:dyDescent="0.35">
      <c r="AC104" s="424"/>
      <c r="AD104" s="424"/>
      <c r="AE104" s="424"/>
      <c r="AF104" s="424"/>
      <c r="AG104" s="564"/>
      <c r="AH104" s="564"/>
      <c r="AI104" s="564"/>
      <c r="AK104" s="81"/>
    </row>
    <row r="105" spans="29:37" s="49" customFormat="1" x14ac:dyDescent="0.35">
      <c r="AC105" s="424"/>
      <c r="AD105" s="424"/>
      <c r="AE105" s="424"/>
      <c r="AF105" s="424"/>
      <c r="AG105" s="564"/>
      <c r="AH105" s="564"/>
      <c r="AI105" s="564"/>
      <c r="AK105" s="81"/>
    </row>
    <row r="106" spans="29:37" s="49" customFormat="1" x14ac:dyDescent="0.35">
      <c r="AC106" s="424"/>
      <c r="AD106" s="424"/>
      <c r="AE106" s="424"/>
      <c r="AF106" s="424"/>
      <c r="AG106" s="564"/>
      <c r="AH106" s="564"/>
      <c r="AI106" s="564"/>
      <c r="AK106" s="81"/>
    </row>
    <row r="107" spans="29:37" s="49" customFormat="1" x14ac:dyDescent="0.35">
      <c r="AC107" s="424"/>
      <c r="AD107" s="424"/>
      <c r="AE107" s="424"/>
      <c r="AF107" s="424"/>
      <c r="AG107" s="564"/>
      <c r="AH107" s="564"/>
      <c r="AI107" s="564"/>
      <c r="AK107" s="81"/>
    </row>
    <row r="108" spans="29:37" s="49" customFormat="1" x14ac:dyDescent="0.35">
      <c r="AC108" s="424"/>
      <c r="AD108" s="424"/>
      <c r="AE108" s="424"/>
      <c r="AF108" s="424"/>
      <c r="AG108" s="564"/>
      <c r="AH108" s="564"/>
      <c r="AI108" s="564"/>
      <c r="AK108" s="81"/>
    </row>
    <row r="109" spans="29:37" s="49" customFormat="1" x14ac:dyDescent="0.35">
      <c r="AC109" s="424"/>
      <c r="AD109" s="424"/>
      <c r="AE109" s="424"/>
      <c r="AF109" s="424"/>
      <c r="AG109" s="564"/>
      <c r="AH109" s="564"/>
      <c r="AI109" s="564"/>
      <c r="AK109" s="81"/>
    </row>
    <row r="110" spans="29:37" s="49" customFormat="1" x14ac:dyDescent="0.35">
      <c r="AC110" s="424"/>
      <c r="AD110" s="424"/>
      <c r="AE110" s="424"/>
      <c r="AF110" s="424"/>
      <c r="AG110" s="564"/>
      <c r="AH110" s="564"/>
      <c r="AI110" s="564"/>
      <c r="AK110" s="81"/>
    </row>
    <row r="111" spans="29:37" s="49" customFormat="1" x14ac:dyDescent="0.35">
      <c r="AC111" s="424"/>
      <c r="AD111" s="424"/>
      <c r="AE111" s="424"/>
      <c r="AF111" s="424"/>
      <c r="AG111" s="564"/>
      <c r="AH111" s="564"/>
      <c r="AI111" s="564"/>
      <c r="AK111" s="81"/>
    </row>
    <row r="112" spans="29:37" s="49" customFormat="1" x14ac:dyDescent="0.35">
      <c r="AC112" s="424"/>
      <c r="AD112" s="424"/>
      <c r="AE112" s="424"/>
      <c r="AF112" s="424"/>
      <c r="AG112" s="564"/>
      <c r="AH112" s="564"/>
      <c r="AI112" s="564"/>
      <c r="AK112" s="81"/>
    </row>
    <row r="113" spans="29:38" s="49" customFormat="1" x14ac:dyDescent="0.35">
      <c r="AC113" s="424"/>
      <c r="AD113" s="424"/>
      <c r="AE113" s="424"/>
      <c r="AF113" s="424"/>
      <c r="AG113" s="564"/>
      <c r="AH113" s="564"/>
      <c r="AI113" s="564"/>
      <c r="AK113" s="81"/>
    </row>
    <row r="114" spans="29:38" s="49" customFormat="1" x14ac:dyDescent="0.35">
      <c r="AC114" s="424"/>
      <c r="AD114" s="424"/>
      <c r="AE114" s="424"/>
      <c r="AF114" s="424"/>
      <c r="AG114" s="564"/>
      <c r="AH114" s="564"/>
      <c r="AI114" s="564"/>
      <c r="AK114" s="81"/>
    </row>
    <row r="115" spans="29:38" s="49" customFormat="1" x14ac:dyDescent="0.35">
      <c r="AC115" s="424"/>
      <c r="AD115" s="424"/>
      <c r="AE115" s="424"/>
      <c r="AF115" s="424"/>
      <c r="AG115" s="564"/>
      <c r="AH115" s="564"/>
      <c r="AI115" s="564"/>
      <c r="AK115" s="81"/>
    </row>
    <row r="116" spans="29:38" s="49" customFormat="1" x14ac:dyDescent="0.35">
      <c r="AC116" s="424"/>
      <c r="AD116" s="424"/>
      <c r="AE116" s="424"/>
      <c r="AF116" s="424"/>
      <c r="AG116" s="564"/>
      <c r="AH116" s="564"/>
      <c r="AI116" s="564"/>
      <c r="AK116" s="81"/>
    </row>
    <row r="117" spans="29:38" s="49" customFormat="1" x14ac:dyDescent="0.35">
      <c r="AC117" s="424"/>
      <c r="AD117" s="424"/>
      <c r="AE117" s="424"/>
      <c r="AF117" s="424"/>
      <c r="AG117" s="564"/>
      <c r="AH117" s="564"/>
      <c r="AI117" s="564"/>
      <c r="AK117" s="81"/>
    </row>
    <row r="118" spans="29:38" s="49" customFormat="1" x14ac:dyDescent="0.35">
      <c r="AC118" s="424"/>
      <c r="AD118" s="424"/>
      <c r="AE118" s="424"/>
      <c r="AF118" s="424"/>
      <c r="AG118" s="564"/>
      <c r="AH118" s="564"/>
      <c r="AI118" s="564"/>
      <c r="AK118" s="81"/>
    </row>
    <row r="119" spans="29:38" s="49" customFormat="1" x14ac:dyDescent="0.35">
      <c r="AC119" s="424"/>
      <c r="AD119" s="424"/>
      <c r="AE119" s="424"/>
      <c r="AF119" s="424"/>
      <c r="AG119" s="564"/>
      <c r="AH119" s="564"/>
      <c r="AI119" s="564"/>
      <c r="AK119" s="81"/>
    </row>
    <row r="120" spans="29:38" s="49" customFormat="1" x14ac:dyDescent="0.35">
      <c r="AC120" s="424"/>
      <c r="AD120" s="424"/>
      <c r="AE120" s="424"/>
      <c r="AF120" s="424"/>
      <c r="AG120" s="564"/>
      <c r="AH120" s="564"/>
      <c r="AI120" s="564"/>
      <c r="AK120" s="81"/>
    </row>
    <row r="121" spans="29:38" s="49" customFormat="1" x14ac:dyDescent="0.35">
      <c r="AC121" s="424"/>
      <c r="AD121" s="424"/>
      <c r="AE121" s="424"/>
      <c r="AF121" s="424"/>
      <c r="AG121" s="564"/>
      <c r="AH121" s="564"/>
      <c r="AI121" s="564"/>
      <c r="AK121" s="81"/>
    </row>
    <row r="122" spans="29:38" s="49" customFormat="1" x14ac:dyDescent="0.35">
      <c r="AC122" s="424"/>
      <c r="AD122" s="424"/>
      <c r="AE122" s="424"/>
      <c r="AF122" s="424"/>
      <c r="AG122" s="564"/>
      <c r="AH122" s="564"/>
      <c r="AI122" s="564"/>
      <c r="AK122" s="81"/>
    </row>
    <row r="123" spans="29:38" s="49" customFormat="1" x14ac:dyDescent="0.35">
      <c r="AC123" s="424"/>
      <c r="AD123" s="424"/>
      <c r="AE123" s="424"/>
      <c r="AF123" s="424"/>
      <c r="AG123" s="564"/>
      <c r="AH123" s="564"/>
      <c r="AI123" s="564"/>
      <c r="AK123" s="46"/>
      <c r="AL123" s="44"/>
    </row>
    <row r="124" spans="29:38" s="49" customFormat="1" x14ac:dyDescent="0.35">
      <c r="AC124" s="424"/>
      <c r="AD124" s="424"/>
      <c r="AE124" s="424"/>
      <c r="AF124" s="424"/>
      <c r="AG124" s="564"/>
      <c r="AH124" s="564"/>
      <c r="AI124" s="564"/>
      <c r="AK124" s="46"/>
      <c r="AL124" s="44"/>
    </row>
    <row r="125" spans="29:38" s="49" customFormat="1" x14ac:dyDescent="0.35">
      <c r="AC125" s="424"/>
      <c r="AD125" s="424"/>
      <c r="AE125" s="424"/>
      <c r="AF125" s="424"/>
      <c r="AG125" s="564"/>
      <c r="AH125" s="564"/>
      <c r="AI125" s="564"/>
      <c r="AK125" s="46"/>
      <c r="AL125" s="44"/>
    </row>
    <row r="126" spans="29:38" s="49" customFormat="1" x14ac:dyDescent="0.35">
      <c r="AC126" s="424"/>
      <c r="AD126" s="424"/>
      <c r="AE126" s="424"/>
      <c r="AF126" s="424"/>
      <c r="AG126" s="564"/>
      <c r="AH126" s="564"/>
      <c r="AI126" s="564"/>
      <c r="AK126" s="46"/>
      <c r="AL126" s="44"/>
    </row>
    <row r="127" spans="29:38" s="49" customFormat="1" x14ac:dyDescent="0.35">
      <c r="AC127" s="424"/>
      <c r="AD127" s="424"/>
      <c r="AE127" s="424"/>
      <c r="AF127" s="424"/>
      <c r="AG127" s="564"/>
      <c r="AH127" s="564"/>
      <c r="AI127" s="564"/>
      <c r="AK127" s="46"/>
      <c r="AL127" s="44"/>
    </row>
    <row r="128" spans="29:38" s="49" customFormat="1" x14ac:dyDescent="0.35">
      <c r="AC128" s="424"/>
      <c r="AD128" s="424"/>
      <c r="AE128" s="424"/>
      <c r="AF128" s="424"/>
      <c r="AG128" s="564"/>
      <c r="AH128" s="564"/>
      <c r="AI128" s="564"/>
      <c r="AK128" s="46"/>
      <c r="AL128" s="44"/>
    </row>
    <row r="129" spans="2:40" s="49" customFormat="1" x14ac:dyDescent="0.35">
      <c r="AC129" s="424"/>
      <c r="AD129" s="424"/>
      <c r="AE129" s="424"/>
      <c r="AF129" s="424"/>
      <c r="AG129" s="564"/>
      <c r="AH129" s="564"/>
      <c r="AI129" s="564"/>
      <c r="AK129" s="46"/>
      <c r="AL129" s="44"/>
    </row>
    <row r="130" spans="2:40" s="49" customFormat="1" x14ac:dyDescent="0.35">
      <c r="AC130" s="424"/>
      <c r="AD130" s="424"/>
      <c r="AE130" s="424"/>
      <c r="AF130" s="424"/>
      <c r="AG130" s="564"/>
      <c r="AH130" s="564"/>
      <c r="AI130" s="564"/>
      <c r="AK130" s="46"/>
      <c r="AL130" s="44"/>
    </row>
    <row r="131" spans="2:40" x14ac:dyDescent="0.35">
      <c r="B131" s="49"/>
      <c r="C131" s="49"/>
      <c r="D131" s="49"/>
      <c r="E131" s="49"/>
      <c r="F131" s="49"/>
      <c r="G131" s="49"/>
      <c r="H131" s="49"/>
      <c r="I131" s="49"/>
      <c r="K131" s="49"/>
      <c r="L131" s="49"/>
      <c r="M131" s="49"/>
      <c r="N131" s="49"/>
      <c r="O131" s="49"/>
      <c r="P131" s="49"/>
      <c r="Q131" s="49"/>
      <c r="S131" s="49"/>
      <c r="T131" s="49"/>
      <c r="U131" s="49"/>
      <c r="V131" s="49"/>
      <c r="W131" s="49"/>
      <c r="X131" s="49"/>
      <c r="Y131" s="49"/>
      <c r="Z131" s="49"/>
      <c r="AA131" s="49"/>
      <c r="AN131" s="49"/>
    </row>
    <row r="132" spans="2:40" x14ac:dyDescent="0.35">
      <c r="B132" s="49"/>
      <c r="C132" s="49"/>
      <c r="D132" s="49"/>
      <c r="E132" s="49"/>
      <c r="F132" s="49"/>
      <c r="G132" s="49"/>
      <c r="H132" s="49"/>
      <c r="I132" s="49"/>
      <c r="K132" s="49"/>
      <c r="L132" s="49"/>
      <c r="M132" s="49"/>
      <c r="N132" s="49"/>
      <c r="O132" s="49"/>
      <c r="P132" s="49"/>
      <c r="Q132" s="49"/>
      <c r="S132" s="49"/>
      <c r="T132" s="49"/>
      <c r="U132" s="49"/>
      <c r="V132" s="49"/>
      <c r="W132" s="49"/>
      <c r="X132" s="49"/>
      <c r="Y132" s="49"/>
      <c r="Z132" s="49"/>
      <c r="AA132" s="49"/>
    </row>
    <row r="133" spans="2:40" x14ac:dyDescent="0.35">
      <c r="B133" s="49"/>
      <c r="C133" s="49"/>
      <c r="D133" s="49"/>
      <c r="E133" s="49"/>
      <c r="F133" s="49"/>
      <c r="G133" s="49"/>
      <c r="H133" s="49"/>
      <c r="I133" s="49"/>
    </row>
  </sheetData>
  <sheetProtection algorithmName="SHA-512" hashValue="xlow9zx/fM72enW3rexBsT7HuIyO7EEHfmiViABV7yXUDeIKocQSns3/g2RKW345hFdVQfIcAGv+vKyRmMhH/A==" saltValue="RlMPU/RvODyZJnUPBQ/tBg==" spinCount="100000" sheet="1" objects="1" scenarios="1"/>
  <mergeCells count="14">
    <mergeCell ref="K24:L24"/>
    <mergeCell ref="K25:L25"/>
    <mergeCell ref="K26:L26"/>
    <mergeCell ref="C9:D9"/>
    <mergeCell ref="C10:D10"/>
    <mergeCell ref="C11:D11"/>
    <mergeCell ref="K21:L21"/>
    <mergeCell ref="K22:L22"/>
    <mergeCell ref="K23:L23"/>
    <mergeCell ref="C8:D8"/>
    <mergeCell ref="AA3:AA6"/>
    <mergeCell ref="C5:D5"/>
    <mergeCell ref="C6:D6"/>
    <mergeCell ref="C7:D7"/>
  </mergeCells>
  <conditionalFormatting sqref="H5:H11">
    <cfRule type="dataBar" priority="225">
      <dataBar>
        <cfvo type="min"/>
        <cfvo type="max"/>
        <color rgb="FF63C384"/>
      </dataBar>
      <extLst>
        <ext xmlns:x14="http://schemas.microsoft.com/office/spreadsheetml/2009/9/main" uri="{B025F937-C7B1-47D3-B67F-A62EFF666E3E}">
          <x14:id>{00607A12-1F6B-46CE-8DA2-AC68D41E7F26}</x14:id>
        </ext>
      </extLst>
    </cfRule>
  </conditionalFormatting>
  <conditionalFormatting sqref="A1:AB2 A68:AB68 A4:R4 P5:R10 A6:N10 P12:AB12 A5:M5 P15:U37 P14 R14:U14 M40:N40 P39:U40 P38 R38:U38 P13:U13 W13:AB13 AB14:AB44 J41:U42 J39:L39 J40:K40 A39:A67 J45:AB67 A78:AB1048576 AM78:XFD1048576 AM12:XFD68 AM1:XFD2 A3 R3 A14 J14:N14 AO3:XFD11 A12:N13 A11:J11 A38:L38 N36:N39 A15:N34 J44:U44 J43:P43 R43:U43 M35:N35 A35:J37">
    <cfRule type="cellIs" dxfId="355" priority="172" operator="lessThan">
      <formula>0</formula>
    </cfRule>
  </conditionalFormatting>
  <conditionalFormatting sqref="V9:AB10 AB3:AB8 V6:AA7 AM9:AN10">
    <cfRule type="cellIs" dxfId="354" priority="167" operator="lessThan">
      <formula>0</formula>
    </cfRule>
  </conditionalFormatting>
  <conditionalFormatting sqref="S3 U3:AA3 V4:AA5 V8:AA8">
    <cfRule type="cellIs" dxfId="353" priority="166" operator="lessThan">
      <formula>0</formula>
    </cfRule>
  </conditionalFormatting>
  <conditionalFormatting sqref="AM3:AN8">
    <cfRule type="cellIs" dxfId="352" priority="164" operator="lessThan">
      <formula>0</formula>
    </cfRule>
  </conditionalFormatting>
  <conditionalFormatting sqref="O5:O10 O20:O26 O31:O34 O36:O40 O12 O29">
    <cfRule type="cellIs" dxfId="351" priority="163" operator="lessThan">
      <formula>0</formula>
    </cfRule>
  </conditionalFormatting>
  <conditionalFormatting sqref="N5">
    <cfRule type="cellIs" dxfId="350" priority="162" operator="lessThan">
      <formula>0</formula>
    </cfRule>
  </conditionalFormatting>
  <conditionalFormatting sqref="O13">
    <cfRule type="cellIs" dxfId="349" priority="161" operator="lessThan">
      <formula>0</formula>
    </cfRule>
  </conditionalFormatting>
  <conditionalFormatting sqref="O19">
    <cfRule type="cellIs" dxfId="348" priority="160" operator="lessThan">
      <formula>0</formula>
    </cfRule>
  </conditionalFormatting>
  <conditionalFormatting sqref="O30">
    <cfRule type="cellIs" dxfId="347" priority="159" operator="lessThan">
      <formula>0</formula>
    </cfRule>
  </conditionalFormatting>
  <conditionalFormatting sqref="O35">
    <cfRule type="cellIs" dxfId="346" priority="158" operator="lessThan">
      <formula>0</formula>
    </cfRule>
  </conditionalFormatting>
  <conditionalFormatting sqref="Q14">
    <cfRule type="cellIs" dxfId="345" priority="157" operator="lessThan">
      <formula>0</formula>
    </cfRule>
  </conditionalFormatting>
  <conditionalFormatting sqref="L40">
    <cfRule type="cellIs" dxfId="344" priority="156" operator="lessThan">
      <formula>0</formula>
    </cfRule>
  </conditionalFormatting>
  <conditionalFormatting sqref="Q38">
    <cfRule type="cellIs" dxfId="343" priority="155" operator="lessThan">
      <formula>0</formula>
    </cfRule>
  </conditionalFormatting>
  <conditionalFormatting sqref="M38:M39">
    <cfRule type="cellIs" dxfId="342" priority="154" operator="lessThan">
      <formula>0</formula>
    </cfRule>
  </conditionalFormatting>
  <conditionalFormatting sqref="V13">
    <cfRule type="cellIs" dxfId="341" priority="140" operator="lessThan">
      <formula>0</formula>
    </cfRule>
  </conditionalFormatting>
  <conditionalFormatting sqref="T8:U8 S6:U7">
    <cfRule type="cellIs" dxfId="340" priority="137" operator="lessThan">
      <formula>0</formula>
    </cfRule>
  </conditionalFormatting>
  <conditionalFormatting sqref="S4:U4 T5:U5">
    <cfRule type="cellIs" dxfId="339" priority="136" operator="lessThan">
      <formula>0</formula>
    </cfRule>
  </conditionalFormatting>
  <conditionalFormatting sqref="S8">
    <cfRule type="cellIs" dxfId="338" priority="135" operator="lessThan">
      <formula>0</formula>
    </cfRule>
  </conditionalFormatting>
  <conditionalFormatting sqref="W41">
    <cfRule type="top10" dxfId="337" priority="134" rank="4"/>
  </conditionalFormatting>
  <conditionalFormatting sqref="X15:X28 X31:X32 X36:X40">
    <cfRule type="dataBar" priority="133">
      <dataBar>
        <cfvo type="min"/>
        <cfvo type="max"/>
        <color rgb="FF638EC6"/>
      </dataBar>
      <extLst>
        <ext xmlns:x14="http://schemas.microsoft.com/office/spreadsheetml/2009/9/main" uri="{B025F937-C7B1-47D3-B67F-A62EFF666E3E}">
          <x14:id>{3C57D459-16CA-4798-AEBA-48997698B36D}</x14:id>
        </ext>
      </extLst>
    </cfRule>
  </conditionalFormatting>
  <conditionalFormatting sqref="Y41">
    <cfRule type="top10" dxfId="336" priority="132" rank="4"/>
  </conditionalFormatting>
  <conditionalFormatting sqref="Z15:Z28 Z31:Z32 Z36:Z40">
    <cfRule type="dataBar" priority="125">
      <dataBar>
        <cfvo type="min"/>
        <cfvo type="max"/>
        <color rgb="FF638EC6"/>
      </dataBar>
      <extLst>
        <ext xmlns:x14="http://schemas.microsoft.com/office/spreadsheetml/2009/9/main" uri="{B025F937-C7B1-47D3-B67F-A62EFF666E3E}">
          <x14:id>{BEBA256A-868D-4DD0-92A9-85837B9B9737}</x14:id>
        </ext>
      </extLst>
    </cfRule>
  </conditionalFormatting>
  <conditionalFormatting sqref="AA41">
    <cfRule type="top10" dxfId="335" priority="124" rank="4"/>
  </conditionalFormatting>
  <conditionalFormatting sqref="V41:AA44 X14:X40 Z14:Z40">
    <cfRule type="cellIs" dxfId="334" priority="117" operator="lessThan">
      <formula>0</formula>
    </cfRule>
  </conditionalFormatting>
  <conditionalFormatting sqref="W15:W28">
    <cfRule type="top10" dxfId="333" priority="115" percent="1" bottom="1" rank="10"/>
    <cfRule type="top10" dxfId="332" priority="116" percent="1" rank="10"/>
  </conditionalFormatting>
  <conditionalFormatting sqref="W31:W32">
    <cfRule type="top10" dxfId="331" priority="113" percent="1" bottom="1" rank="10"/>
    <cfRule type="top10" dxfId="330" priority="114" percent="1" rank="10"/>
  </conditionalFormatting>
  <conditionalFormatting sqref="W36:W40">
    <cfRule type="top10" dxfId="329" priority="111" percent="1" bottom="1" rank="10"/>
    <cfRule type="top10" dxfId="328" priority="112" percent="1" rank="10"/>
  </conditionalFormatting>
  <conditionalFormatting sqref="W14:W40">
    <cfRule type="cellIs" dxfId="327" priority="110" operator="lessThan">
      <formula>0</formula>
    </cfRule>
  </conditionalFormatting>
  <conditionalFormatting sqref="V15:V28 V31:V32 V36:V40">
    <cfRule type="dataBar" priority="109">
      <dataBar>
        <cfvo type="min"/>
        <cfvo type="max"/>
        <color rgb="FF638EC6"/>
      </dataBar>
      <extLst>
        <ext xmlns:x14="http://schemas.microsoft.com/office/spreadsheetml/2009/9/main" uri="{B025F937-C7B1-47D3-B67F-A62EFF666E3E}">
          <x14:id>{AE6DD173-13A3-46D7-8392-9ED6F4058F4C}</x14:id>
        </ext>
      </extLst>
    </cfRule>
  </conditionalFormatting>
  <conditionalFormatting sqref="V14:V40">
    <cfRule type="cellIs" dxfId="326" priority="108" operator="lessThan">
      <formula>0</formula>
    </cfRule>
  </conditionalFormatting>
  <conditionalFormatting sqref="W31:W32">
    <cfRule type="top10" dxfId="325" priority="106" percent="1" bottom="1" rank="10"/>
    <cfRule type="top10" dxfId="324" priority="107" percent="1" rank="10"/>
  </conditionalFormatting>
  <conditionalFormatting sqref="W36:W40">
    <cfRule type="top10" dxfId="323" priority="104" percent="1" bottom="1" rank="10"/>
    <cfRule type="top10" dxfId="322" priority="105" percent="1" rank="10"/>
  </conditionalFormatting>
  <conditionalFormatting sqref="O14:O18">
    <cfRule type="cellIs" dxfId="321" priority="103" operator="lessThan">
      <formula>0</formula>
    </cfRule>
  </conditionalFormatting>
  <conditionalFormatting sqref="F39:I39 B39:D39 B40:I67">
    <cfRule type="cellIs" dxfId="320" priority="102" operator="lessThan">
      <formula>0</formula>
    </cfRule>
  </conditionalFormatting>
  <conditionalFormatting sqref="A69:V74 AB69:AB74 A75:AB77 AM69:XFD77">
    <cfRule type="cellIs" dxfId="319" priority="101" operator="lessThan">
      <formula>0</formula>
    </cfRule>
  </conditionalFormatting>
  <conditionalFormatting sqref="S9:T9 T10">
    <cfRule type="cellIs" dxfId="318" priority="100" operator="lessThan">
      <formula>0</formula>
    </cfRule>
  </conditionalFormatting>
  <conditionalFormatting sqref="S10 U10">
    <cfRule type="cellIs" dxfId="317" priority="99" operator="lessThan">
      <formula>0</formula>
    </cfRule>
  </conditionalFormatting>
  <conditionalFormatting sqref="AL29 AL33:AL34 AL41 AL43:AL45">
    <cfRule type="containsText" dxfId="316" priority="98" operator="containsText" text="suurem">
      <formula>NOT(ISERROR(SEARCH("suurem",AL29)))</formula>
    </cfRule>
  </conditionalFormatting>
  <conditionalFormatting sqref="AL29 AL33:AL34 AL41 AL43:AL45">
    <cfRule type="containsText" dxfId="315" priority="97" operator="containsText" text="pienempi">
      <formula>NOT(ISERROR(SEARCH("pienempi",AL29)))</formula>
    </cfRule>
  </conditionalFormatting>
  <conditionalFormatting sqref="AL14:AL42">
    <cfRule type="containsText" dxfId="314" priority="96" operator="containsText" text="suurem">
      <formula>NOT(ISERROR(SEARCH("suurem",AL14)))</formula>
    </cfRule>
  </conditionalFormatting>
  <conditionalFormatting sqref="AL14:AL42">
    <cfRule type="containsText" dxfId="313" priority="95" operator="containsText" text="pienempi">
      <formula>NOT(ISERROR(SEARCH("pienempi",AL14)))</formula>
    </cfRule>
  </conditionalFormatting>
  <conditionalFormatting sqref="AL14:AL42">
    <cfRule type="containsText" dxfId="312" priority="94" operator="containsText" text="pienemmät">
      <formula>NOT(ISERROR(SEARCH("pienemmät",AL14)))</formula>
    </cfRule>
  </conditionalFormatting>
  <conditionalFormatting sqref="AL15:AL24 AL27:AL28">
    <cfRule type="containsText" dxfId="311" priority="93" operator="containsText" text="suurem">
      <formula>NOT(ISERROR(SEARCH("suurem",AL15)))</formula>
    </cfRule>
  </conditionalFormatting>
  <conditionalFormatting sqref="AL15:AL24 AL27:AL28">
    <cfRule type="containsText" dxfId="310" priority="92" operator="containsText" text="pienempi">
      <formula>NOT(ISERROR(SEARCH("pienempi",AL15)))</formula>
    </cfRule>
  </conditionalFormatting>
  <conditionalFormatting sqref="AL15:AL24 AL27:AL28">
    <cfRule type="containsText" dxfId="309" priority="91" operator="containsText" text="pienemmät">
      <formula>NOT(ISERROR(SEARCH("pienemmät",AL15)))</formula>
    </cfRule>
  </conditionalFormatting>
  <conditionalFormatting sqref="AL25">
    <cfRule type="containsText" dxfId="308" priority="90" operator="containsText" text="suurem">
      <formula>NOT(ISERROR(SEARCH("suurem",AL25)))</formula>
    </cfRule>
  </conditionalFormatting>
  <conditionalFormatting sqref="AL25">
    <cfRule type="containsText" dxfId="307" priority="89" operator="containsText" text="pienempi">
      <formula>NOT(ISERROR(SEARCH("pienempi",AL25)))</formula>
    </cfRule>
  </conditionalFormatting>
  <conditionalFormatting sqref="AL25">
    <cfRule type="containsText" dxfId="306" priority="88" operator="containsText" text="pienemmät">
      <formula>NOT(ISERROR(SEARCH("pienemmät",AL25)))</formula>
    </cfRule>
  </conditionalFormatting>
  <conditionalFormatting sqref="AL26">
    <cfRule type="containsText" dxfId="305" priority="87" operator="containsText" text="suurem">
      <formula>NOT(ISERROR(SEARCH("suurem",AL26)))</formula>
    </cfRule>
  </conditionalFormatting>
  <conditionalFormatting sqref="AL26">
    <cfRule type="containsText" dxfId="304" priority="86" operator="containsText" text="pienempi">
      <formula>NOT(ISERROR(SEARCH("pienempi",AL26)))</formula>
    </cfRule>
  </conditionalFormatting>
  <conditionalFormatting sqref="AL26">
    <cfRule type="containsText" dxfId="303" priority="85" operator="containsText" text="pienemmät">
      <formula>NOT(ISERROR(SEARCH("pienemmät",AL26)))</formula>
    </cfRule>
  </conditionalFormatting>
  <conditionalFormatting sqref="AL30:AL32">
    <cfRule type="containsText" dxfId="302" priority="84" operator="containsText" text="suurem">
      <formula>NOT(ISERROR(SEARCH("suurem",AL30)))</formula>
    </cfRule>
  </conditionalFormatting>
  <conditionalFormatting sqref="AL30:AL32">
    <cfRule type="containsText" dxfId="301" priority="83" operator="containsText" text="pienempi">
      <formula>NOT(ISERROR(SEARCH("pienempi",AL30)))</formula>
    </cfRule>
  </conditionalFormatting>
  <conditionalFormatting sqref="AL30:AL32">
    <cfRule type="containsText" dxfId="300" priority="82" operator="containsText" text="pienemmät">
      <formula>NOT(ISERROR(SEARCH("pienemmät",AL30)))</formula>
    </cfRule>
  </conditionalFormatting>
  <conditionalFormatting sqref="AL35:AL37">
    <cfRule type="containsText" dxfId="299" priority="81" operator="containsText" text="suurem">
      <formula>NOT(ISERROR(SEARCH("suurem",AL35)))</formula>
    </cfRule>
  </conditionalFormatting>
  <conditionalFormatting sqref="AL35:AL37">
    <cfRule type="containsText" dxfId="298" priority="80" operator="containsText" text="pienempi">
      <formula>NOT(ISERROR(SEARCH("pienempi",AL35)))</formula>
    </cfRule>
  </conditionalFormatting>
  <conditionalFormatting sqref="AL35:AL37">
    <cfRule type="containsText" dxfId="297" priority="79" operator="containsText" text="pienemmät">
      <formula>NOT(ISERROR(SEARCH("pienemmät",AL35)))</formula>
    </cfRule>
  </conditionalFormatting>
  <conditionalFormatting sqref="AL40">
    <cfRule type="containsText" dxfId="296" priority="78" operator="containsText" text="suurem">
      <formula>NOT(ISERROR(SEARCH("suurem",AL40)))</formula>
    </cfRule>
  </conditionalFormatting>
  <conditionalFormatting sqref="AL40">
    <cfRule type="containsText" dxfId="295" priority="77" operator="containsText" text="pienempi">
      <formula>NOT(ISERROR(SEARCH("pienempi",AL40)))</formula>
    </cfRule>
  </conditionalFormatting>
  <conditionalFormatting sqref="AL40">
    <cfRule type="containsText" dxfId="294" priority="76" operator="containsText" text="pienemmät">
      <formula>NOT(ISERROR(SEARCH("pienemmät",AL40)))</formula>
    </cfRule>
  </conditionalFormatting>
  <conditionalFormatting sqref="AL38:AL39">
    <cfRule type="containsText" dxfId="293" priority="75" operator="containsText" text="suurem">
      <formula>NOT(ISERROR(SEARCH("suurem",AL38)))</formula>
    </cfRule>
  </conditionalFormatting>
  <conditionalFormatting sqref="AL38:AL39">
    <cfRule type="containsText" dxfId="292" priority="74" operator="containsText" text="pienempi">
      <formula>NOT(ISERROR(SEARCH("pienempi",AL38)))</formula>
    </cfRule>
  </conditionalFormatting>
  <conditionalFormatting sqref="AL38:AL39">
    <cfRule type="containsText" dxfId="291" priority="73" operator="containsText" text="pienemmät">
      <formula>NOT(ISERROR(SEARCH("pienemmät",AL38)))</formula>
    </cfRule>
  </conditionalFormatting>
  <conditionalFormatting sqref="AL42">
    <cfRule type="containsText" dxfId="290" priority="72" operator="containsText" text="suurem">
      <formula>NOT(ISERROR(SEARCH("suurem",AL42)))</formula>
    </cfRule>
  </conditionalFormatting>
  <conditionalFormatting sqref="AL42">
    <cfRule type="containsText" dxfId="289" priority="71" operator="containsText" text="pienempi">
      <formula>NOT(ISERROR(SEARCH("pienempi",AL42)))</formula>
    </cfRule>
  </conditionalFormatting>
  <conditionalFormatting sqref="AL42">
    <cfRule type="containsText" dxfId="288" priority="70" operator="containsText" text="pienemmät">
      <formula>NOT(ISERROR(SEARCH("pienemmät",AL42)))</formula>
    </cfRule>
  </conditionalFormatting>
  <conditionalFormatting sqref="AC1:AG10 AJ3:AJ8 AJ1:AL2 AC29:AG29 AC33:AG34 AC30:AF32 AC41:AG41 AC43:AG1048576 AC42:AF42 AJ9:AL10 AC13:AE13 AG13 AC14:AG15 AC35:AF40 AC16:AF28 AJ12:AL1048576 AC12:AG12">
    <cfRule type="cellIs" dxfId="287" priority="69" operator="lessThan">
      <formula>0</formula>
    </cfRule>
  </conditionalFormatting>
  <conditionalFormatting sqref="AK3:AL8">
    <cfRule type="cellIs" dxfId="286" priority="68" operator="lessThan">
      <formula>0</formula>
    </cfRule>
  </conditionalFormatting>
  <conditionalFormatting sqref="AG42">
    <cfRule type="cellIs" dxfId="285" priority="54" operator="lessThan">
      <formula>0</formula>
    </cfRule>
  </conditionalFormatting>
  <conditionalFormatting sqref="AH1:AI10 AH43:AI1048576 AI14:AI42 AH12:AI12">
    <cfRule type="cellIs" dxfId="284" priority="67" operator="lessThan">
      <formula>0</formula>
    </cfRule>
  </conditionalFormatting>
  <conditionalFormatting sqref="AH29 AH33:AH34 AH41 AH14:AH15">
    <cfRule type="cellIs" dxfId="283" priority="66" operator="lessThan">
      <formula>0</formula>
    </cfRule>
  </conditionalFormatting>
  <conditionalFormatting sqref="AH30:AH31">
    <cfRule type="cellIs" dxfId="282" priority="57" operator="lessThan">
      <formula>0</formula>
    </cfRule>
  </conditionalFormatting>
  <conditionalFormatting sqref="AG38:AG39">
    <cfRule type="cellIs" dxfId="281" priority="56" operator="lessThan">
      <formula>0</formula>
    </cfRule>
  </conditionalFormatting>
  <conditionalFormatting sqref="AH38:AH39">
    <cfRule type="cellIs" dxfId="280" priority="55" operator="lessThan">
      <formula>0</formula>
    </cfRule>
  </conditionalFormatting>
  <conditionalFormatting sqref="AH13">
    <cfRule type="cellIs" dxfId="279" priority="65" operator="lessThan">
      <formula>0</formula>
    </cfRule>
  </conditionalFormatting>
  <conditionalFormatting sqref="AG32">
    <cfRule type="cellIs" dxfId="278" priority="64" operator="lessThan">
      <formula>0</formula>
    </cfRule>
  </conditionalFormatting>
  <conditionalFormatting sqref="AH32">
    <cfRule type="cellIs" dxfId="277" priority="63" operator="lessThan">
      <formula>0</formula>
    </cfRule>
  </conditionalFormatting>
  <conditionalFormatting sqref="AG16:AG24">
    <cfRule type="cellIs" dxfId="276" priority="62" operator="lessThan">
      <formula>0</formula>
    </cfRule>
  </conditionalFormatting>
  <conditionalFormatting sqref="AH16:AH24">
    <cfRule type="cellIs" dxfId="275" priority="61" operator="lessThan">
      <formula>0</formula>
    </cfRule>
  </conditionalFormatting>
  <conditionalFormatting sqref="AG27:AG28">
    <cfRule type="cellIs" dxfId="274" priority="60" operator="lessThan">
      <formula>0</formula>
    </cfRule>
  </conditionalFormatting>
  <conditionalFormatting sqref="AH27:AH28">
    <cfRule type="cellIs" dxfId="273" priority="59" operator="lessThan">
      <formula>0</formula>
    </cfRule>
  </conditionalFormatting>
  <conditionalFormatting sqref="AG30:AG31">
    <cfRule type="cellIs" dxfId="272" priority="58" operator="lessThan">
      <formula>0</formula>
    </cfRule>
  </conditionalFormatting>
  <conditionalFormatting sqref="AH42">
    <cfRule type="cellIs" dxfId="271" priority="53" operator="lessThan">
      <formula>0</formula>
    </cfRule>
  </conditionalFormatting>
  <conditionalFormatting sqref="AG25:AG26">
    <cfRule type="cellIs" dxfId="270" priority="52" operator="lessThan">
      <formula>0</formula>
    </cfRule>
  </conditionalFormatting>
  <conditionalFormatting sqref="AH25:AH26">
    <cfRule type="cellIs" dxfId="269" priority="51" operator="lessThan">
      <formula>0</formula>
    </cfRule>
  </conditionalFormatting>
  <conditionalFormatting sqref="AG35:AG37">
    <cfRule type="cellIs" dxfId="268" priority="50" operator="lessThan">
      <formula>0</formula>
    </cfRule>
  </conditionalFormatting>
  <conditionalFormatting sqref="AH35:AH37">
    <cfRule type="cellIs" dxfId="267" priority="49" operator="lessThan">
      <formula>0</formula>
    </cfRule>
  </conditionalFormatting>
  <conditionalFormatting sqref="AG40">
    <cfRule type="cellIs" dxfId="266" priority="48" operator="lessThan">
      <formula>0</formula>
    </cfRule>
  </conditionalFormatting>
  <conditionalFormatting sqref="AH40">
    <cfRule type="cellIs" dxfId="265" priority="47" operator="lessThan">
      <formula>0</formula>
    </cfRule>
  </conditionalFormatting>
  <conditionalFormatting sqref="AI13">
    <cfRule type="cellIs" dxfId="264" priority="46" operator="lessThan">
      <formula>0</formula>
    </cfRule>
  </conditionalFormatting>
  <conditionalFormatting sqref="P3">
    <cfRule type="containsText" dxfId="263" priority="45" operator="containsText" text="Tarkista">
      <formula>NOT(ISERROR(SEARCH("Tarkista",P3)))</formula>
    </cfRule>
  </conditionalFormatting>
  <conditionalFormatting sqref="J3:Q3">
    <cfRule type="cellIs" dxfId="262" priority="44" operator="lessThan">
      <formula>0</formula>
    </cfRule>
  </conditionalFormatting>
  <conditionalFormatting sqref="B3:I3">
    <cfRule type="cellIs" dxfId="261" priority="43" operator="lessThan">
      <formula>0</formula>
    </cfRule>
  </conditionalFormatting>
  <conditionalFormatting sqref="B14:H14">
    <cfRule type="cellIs" dxfId="260" priority="42" operator="lessThan">
      <formula>0</formula>
    </cfRule>
  </conditionalFormatting>
  <conditionalFormatting sqref="I14">
    <cfRule type="cellIs" dxfId="259" priority="41" operator="lessThan">
      <formula>0</formula>
    </cfRule>
  </conditionalFormatting>
  <conditionalFormatting sqref="K11:R11 AB11:AG11 AJ11">
    <cfRule type="cellIs" dxfId="258" priority="40" operator="lessThan">
      <formula>0</formula>
    </cfRule>
  </conditionalFormatting>
  <conditionalFormatting sqref="AH11">
    <cfRule type="cellIs" dxfId="257" priority="39" operator="lessThan">
      <formula>0</formula>
    </cfRule>
  </conditionalFormatting>
  <conditionalFormatting sqref="AI11">
    <cfRule type="cellIs" dxfId="256" priority="38" operator="lessThan">
      <formula>0</formula>
    </cfRule>
  </conditionalFormatting>
  <conditionalFormatting sqref="P11">
    <cfRule type="containsText" dxfId="255" priority="37" operator="containsText" text="Tarkista">
      <formula>NOT(ISERROR(SEARCH("Tarkista",P11)))</formula>
    </cfRule>
  </conditionalFormatting>
  <conditionalFormatting sqref="S11:AA11">
    <cfRule type="cellIs" dxfId="254" priority="36" operator="lessThan">
      <formula>0</formula>
    </cfRule>
  </conditionalFormatting>
  <conditionalFormatting sqref="AK11:AN11">
    <cfRule type="cellIs" dxfId="253" priority="35" operator="lessThan">
      <formula>0</formula>
    </cfRule>
  </conditionalFormatting>
  <conditionalFormatting sqref="M36:M37">
    <cfRule type="cellIs" dxfId="252" priority="34" operator="lessThan">
      <formula>0</formula>
    </cfRule>
  </conditionalFormatting>
  <conditionalFormatting sqref="Q43">
    <cfRule type="cellIs" dxfId="251" priority="32" operator="lessThan">
      <formula>0</formula>
    </cfRule>
  </conditionalFormatting>
  <conditionalFormatting sqref="Y15:Y28">
    <cfRule type="top10" dxfId="250" priority="30" percent="1" bottom="1" rank="10"/>
    <cfRule type="top10" dxfId="249" priority="31" percent="1" rank="10"/>
  </conditionalFormatting>
  <conditionalFormatting sqref="Y31:Y32">
    <cfRule type="top10" dxfId="248" priority="28" percent="1" bottom="1" rank="10"/>
    <cfRule type="top10" dxfId="247" priority="29" percent="1" rank="10"/>
  </conditionalFormatting>
  <conditionalFormatting sqref="Y36:Y40">
    <cfRule type="top10" dxfId="246" priority="26" percent="1" bottom="1" rank="10"/>
    <cfRule type="top10" dxfId="245" priority="27" percent="1" rank="10"/>
  </conditionalFormatting>
  <conditionalFormatting sqref="Y15:Y29 Y31:Y34 Y36:Y40">
    <cfRule type="cellIs" dxfId="244" priority="25" operator="lessThan">
      <formula>0</formula>
    </cfRule>
  </conditionalFormatting>
  <conditionalFormatting sqref="Y31:Y32">
    <cfRule type="top10" dxfId="243" priority="23" percent="1" bottom="1" rank="10"/>
    <cfRule type="top10" dxfId="242" priority="24" percent="1" rank="10"/>
  </conditionalFormatting>
  <conditionalFormatting sqref="Y36:Y40">
    <cfRule type="top10" dxfId="241" priority="21" percent="1" bottom="1" rank="10"/>
    <cfRule type="top10" dxfId="240" priority="22" percent="1" rank="10"/>
  </conditionalFormatting>
  <conditionalFormatting sqref="Y14">
    <cfRule type="cellIs" dxfId="239" priority="20" operator="lessThan">
      <formula>0</formula>
    </cfRule>
  </conditionalFormatting>
  <conditionalFormatting sqref="Y30">
    <cfRule type="cellIs" dxfId="238" priority="19" operator="lessThan">
      <formula>0</formula>
    </cfRule>
  </conditionalFormatting>
  <conditionalFormatting sqref="Y35">
    <cfRule type="cellIs" dxfId="237" priority="18" operator="lessThan">
      <formula>0</formula>
    </cfRule>
  </conditionalFormatting>
  <conditionalFormatting sqref="AA15:AA28">
    <cfRule type="top10" dxfId="236" priority="16" percent="1" bottom="1" rank="10"/>
    <cfRule type="top10" dxfId="235" priority="17" percent="1" rank="10"/>
  </conditionalFormatting>
  <conditionalFormatting sqref="AA31:AA32">
    <cfRule type="top10" dxfId="234" priority="14" percent="1" bottom="1" rank="10"/>
    <cfRule type="top10" dxfId="233" priority="15" percent="1" rank="10"/>
  </conditionalFormatting>
  <conditionalFormatting sqref="AA36:AA40">
    <cfRule type="top10" dxfId="232" priority="12" percent="1" bottom="1" rank="10"/>
    <cfRule type="top10" dxfId="231" priority="13" percent="1" rank="10"/>
  </conditionalFormatting>
  <conditionalFormatting sqref="AA15:AA29 AA31:AA34 AA36:AA40">
    <cfRule type="cellIs" dxfId="230" priority="11" operator="lessThan">
      <formula>0</formula>
    </cfRule>
  </conditionalFormatting>
  <conditionalFormatting sqref="AA31:AA32">
    <cfRule type="top10" dxfId="229" priority="9" percent="1" bottom="1" rank="10"/>
    <cfRule type="top10" dxfId="228" priority="10" percent="1" rank="10"/>
  </conditionalFormatting>
  <conditionalFormatting sqref="AA36:AA40">
    <cfRule type="top10" dxfId="227" priority="7" percent="1" bottom="1" rank="10"/>
    <cfRule type="top10" dxfId="226" priority="8" percent="1" rank="10"/>
  </conditionalFormatting>
  <conditionalFormatting sqref="AA14">
    <cfRule type="cellIs" dxfId="225" priority="6" operator="lessThan">
      <formula>0</formula>
    </cfRule>
  </conditionalFormatting>
  <conditionalFormatting sqref="AA30">
    <cfRule type="cellIs" dxfId="224" priority="5" operator="lessThan">
      <formula>0</formula>
    </cfRule>
  </conditionalFormatting>
  <conditionalFormatting sqref="AA35">
    <cfRule type="cellIs" dxfId="223" priority="4" operator="lessThan">
      <formula>0</formula>
    </cfRule>
  </conditionalFormatting>
  <conditionalFormatting sqref="O27:O28">
    <cfRule type="cellIs" dxfId="222" priority="3" operator="lessThan">
      <formula>0</formula>
    </cfRule>
  </conditionalFormatting>
  <conditionalFormatting sqref="K36:L37 K35">
    <cfRule type="cellIs" dxfId="221" priority="2" operator="lessThan">
      <formula>0</formula>
    </cfRule>
  </conditionalFormatting>
  <conditionalFormatting sqref="L35">
    <cfRule type="cellIs" dxfId="220" priority="1" operator="lessThan">
      <formula>0</formula>
    </cfRule>
  </conditionalFormatting>
  <pageMargins left="0.7" right="0.7" top="0.75" bottom="0.75" header="0.3" footer="0.3"/>
  <pageSetup paperSize="9" orientation="portrait" horizontalDpi="300" verticalDpi="300" r:id="rId1"/>
  <drawing r:id="rId2"/>
  <legacyDrawing r:id="rId3"/>
  <extLst>
    <ext xmlns:x14="http://schemas.microsoft.com/office/spreadsheetml/2009/9/main" uri="{78C0D931-6437-407d-A8EE-F0AAD7539E65}">
      <x14:conditionalFormattings>
        <x14:conditionalFormatting xmlns:xm="http://schemas.microsoft.com/office/excel/2006/main">
          <x14:cfRule type="dataBar" id="{00607A12-1F6B-46CE-8DA2-AC68D41E7F26}">
            <x14:dataBar minLength="0" maxLength="100" border="1" negativeBarBorderColorSameAsPositive="0">
              <x14:cfvo type="autoMin"/>
              <x14:cfvo type="autoMax"/>
              <x14:borderColor rgb="FF63C384"/>
              <x14:negativeFillColor rgb="FFFF0000"/>
              <x14:negativeBorderColor rgb="FFFF0000"/>
              <x14:axisColor rgb="FF000000"/>
            </x14:dataBar>
          </x14:cfRule>
          <xm:sqref>H5:H11</xm:sqref>
        </x14:conditionalFormatting>
        <x14:conditionalFormatting xmlns:xm="http://schemas.microsoft.com/office/excel/2006/main">
          <x14:cfRule type="dataBar" id="{3C57D459-16CA-4798-AEBA-48997698B36D}">
            <x14:dataBar minLength="0" maxLength="100" border="1" negativeBarBorderColorSameAsPositive="0">
              <x14:cfvo type="autoMin"/>
              <x14:cfvo type="autoMax"/>
              <x14:borderColor rgb="FF638EC6"/>
              <x14:negativeFillColor rgb="FFFF0000"/>
              <x14:negativeBorderColor rgb="FFFF0000"/>
              <x14:axisColor rgb="FF000000"/>
            </x14:dataBar>
          </x14:cfRule>
          <xm:sqref>X15:X28 X31:X32 X36:X40</xm:sqref>
        </x14:conditionalFormatting>
        <x14:conditionalFormatting xmlns:xm="http://schemas.microsoft.com/office/excel/2006/main">
          <x14:cfRule type="dataBar" id="{BEBA256A-868D-4DD0-92A9-85837B9B9737}">
            <x14:dataBar minLength="0" maxLength="100" border="1" negativeBarBorderColorSameAsPositive="0">
              <x14:cfvo type="autoMin"/>
              <x14:cfvo type="autoMax"/>
              <x14:borderColor rgb="FF638EC6"/>
              <x14:negativeFillColor rgb="FFFF0000"/>
              <x14:negativeBorderColor rgb="FFFF0000"/>
              <x14:axisColor rgb="FF000000"/>
            </x14:dataBar>
          </x14:cfRule>
          <xm:sqref>Z15:Z28 Z31:Z32 Z36:Z40</xm:sqref>
        </x14:conditionalFormatting>
        <x14:conditionalFormatting xmlns:xm="http://schemas.microsoft.com/office/excel/2006/main">
          <x14:cfRule type="dataBar" id="{AE6DD173-13A3-46D7-8392-9ED6F4058F4C}">
            <x14:dataBar minLength="0" maxLength="100" border="1" negativeBarBorderColorSameAsPositive="0">
              <x14:cfvo type="autoMin"/>
              <x14:cfvo type="autoMax"/>
              <x14:borderColor rgb="FF638EC6"/>
              <x14:negativeFillColor rgb="FFFF0000"/>
              <x14:negativeBorderColor rgb="FFFF0000"/>
              <x14:axisColor rgb="FF000000"/>
            </x14:dataBar>
          </x14:cfRule>
          <xm:sqref>V15:V28 V31:V32 V36:V40</xm:sqref>
        </x14:conditionalFormatting>
      </x14:conditionalFormatting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3E95C9"/>
  </sheetPr>
  <dimension ref="A1:AT84"/>
  <sheetViews>
    <sheetView workbookViewId="0">
      <pane ySplit="2" topLeftCell="A3" activePane="bottomLeft" state="frozen"/>
      <selection activeCell="E1" sqref="E1"/>
      <selection pane="bottomLeft" activeCell="E1" sqref="E1"/>
    </sheetView>
  </sheetViews>
  <sheetFormatPr defaultColWidth="8.81640625" defaultRowHeight="14.5" x14ac:dyDescent="0.35"/>
  <cols>
    <col min="1" max="1" width="2.6328125" customWidth="1"/>
    <col min="11" max="11" width="2.6328125" customWidth="1"/>
    <col min="21" max="21" width="2.6328125" customWidth="1"/>
    <col min="31" max="32" width="2.6328125" customWidth="1"/>
  </cols>
  <sheetData>
    <row r="1" spans="1:46" s="410" customFormat="1" ht="27" customHeight="1" x14ac:dyDescent="0.35">
      <c r="A1" s="408"/>
      <c r="B1" s="408"/>
      <c r="C1" s="408"/>
      <c r="D1" s="409"/>
      <c r="E1" s="409" t="s">
        <v>707</v>
      </c>
      <c r="F1" s="409"/>
      <c r="G1" s="413"/>
      <c r="H1" s="413"/>
      <c r="I1" s="413"/>
      <c r="J1" s="413"/>
      <c r="K1" s="413"/>
      <c r="L1" s="408" t="str">
        <f>CONCATENATE(Etusivu!$F$10,," ",Etusivu!$G$10,", ",Etusivu!$F$7," ",Etusivu!$G$7)</f>
        <v>Laskelman laatija: Lappari-elinkeino -hanke, Laskelmavuosi: 2021</v>
      </c>
      <c r="M1" s="408"/>
      <c r="N1" s="408"/>
      <c r="O1" s="408"/>
      <c r="P1" s="408"/>
      <c r="Q1" s="408"/>
      <c r="R1" s="408"/>
      <c r="S1" s="408"/>
      <c r="T1" s="411"/>
      <c r="U1" s="408"/>
      <c r="V1" s="408"/>
      <c r="W1" s="408"/>
      <c r="X1" s="408"/>
      <c r="Y1" s="408"/>
      <c r="Z1" s="408"/>
      <c r="AA1" s="408"/>
      <c r="AB1" s="408"/>
      <c r="AC1" s="408"/>
      <c r="AD1" s="408"/>
      <c r="AE1" s="408"/>
      <c r="AF1" s="408"/>
      <c r="AG1" s="408"/>
      <c r="AH1" s="408"/>
      <c r="AI1" s="408"/>
      <c r="AJ1" s="408"/>
      <c r="AK1" s="408"/>
      <c r="AL1" s="408"/>
      <c r="AM1" s="408"/>
      <c r="AN1" s="408"/>
      <c r="AO1" s="408"/>
      <c r="AP1" s="408"/>
      <c r="AQ1" s="408"/>
      <c r="AR1" s="408"/>
      <c r="AS1" s="408"/>
      <c r="AT1" s="408"/>
    </row>
    <row r="2" spans="1:46" s="2" customFormat="1" ht="14.25" customHeight="1" x14ac:dyDescent="0.35">
      <c r="A2" s="3"/>
      <c r="B2" s="4"/>
      <c r="C2" s="1"/>
      <c r="D2" s="1"/>
      <c r="E2" s="129"/>
      <c r="F2" s="129"/>
      <c r="G2" s="129"/>
      <c r="H2" s="129"/>
      <c r="I2" s="129"/>
      <c r="J2" s="129"/>
      <c r="K2" s="129"/>
      <c r="L2" s="129"/>
      <c r="M2" s="129"/>
      <c r="N2" s="129"/>
      <c r="O2" s="1"/>
      <c r="P2" s="1"/>
      <c r="Q2" s="1"/>
      <c r="R2" s="129"/>
      <c r="S2" s="1"/>
      <c r="T2" s="1"/>
      <c r="U2" s="1"/>
      <c r="V2" s="1"/>
      <c r="W2" s="1"/>
      <c r="X2" s="1"/>
      <c r="Y2" s="1"/>
      <c r="Z2" s="1"/>
      <c r="AA2" s="1"/>
      <c r="AB2" s="1"/>
      <c r="AC2" s="1"/>
      <c r="AD2" s="1"/>
      <c r="AE2" s="1"/>
      <c r="AF2" s="1"/>
      <c r="AG2" s="1"/>
      <c r="AH2" s="1"/>
      <c r="AI2" s="1"/>
      <c r="AJ2" s="1"/>
      <c r="AK2" s="1"/>
      <c r="AL2" s="1"/>
      <c r="AM2" s="1"/>
      <c r="AN2" s="1"/>
      <c r="AO2" s="1"/>
      <c r="AP2" s="1"/>
      <c r="AQ2" s="1"/>
      <c r="AR2" s="1"/>
      <c r="AS2" s="1"/>
      <c r="AT2" s="1"/>
    </row>
    <row r="3" spans="1:46" s="173" customFormat="1" x14ac:dyDescent="0.35"/>
    <row r="4" spans="1:46" s="173" customFormat="1" x14ac:dyDescent="0.35">
      <c r="B4" s="37" t="s">
        <v>708</v>
      </c>
      <c r="L4" s="37" t="s">
        <v>711</v>
      </c>
      <c r="V4" s="37" t="s">
        <v>712</v>
      </c>
    </row>
    <row r="5" spans="1:46" s="173" customFormat="1" x14ac:dyDescent="0.35"/>
    <row r="6" spans="1:46" s="173" customFormat="1" x14ac:dyDescent="0.35"/>
    <row r="7" spans="1:46" s="173" customFormat="1" x14ac:dyDescent="0.35"/>
    <row r="8" spans="1:46" s="173" customFormat="1" x14ac:dyDescent="0.35"/>
    <row r="9" spans="1:46" s="173" customFormat="1" x14ac:dyDescent="0.35"/>
    <row r="10" spans="1:46" s="173" customFormat="1" x14ac:dyDescent="0.35"/>
    <row r="11" spans="1:46" s="173" customFormat="1" x14ac:dyDescent="0.35"/>
    <row r="12" spans="1:46" s="173" customFormat="1" x14ac:dyDescent="0.35"/>
    <row r="13" spans="1:46" s="173" customFormat="1" x14ac:dyDescent="0.35"/>
    <row r="14" spans="1:46" s="173" customFormat="1" x14ac:dyDescent="0.35"/>
    <row r="15" spans="1:46" s="173" customFormat="1" x14ac:dyDescent="0.35">
      <c r="B15" s="37" t="s">
        <v>709</v>
      </c>
      <c r="L15" s="37" t="s">
        <v>715</v>
      </c>
      <c r="V15" s="37" t="s">
        <v>713</v>
      </c>
    </row>
    <row r="16" spans="1:46" s="173" customFormat="1" x14ac:dyDescent="0.35"/>
    <row r="17" spans="2:22" s="173" customFormat="1" x14ac:dyDescent="0.35"/>
    <row r="18" spans="2:22" s="173" customFormat="1" x14ac:dyDescent="0.35"/>
    <row r="19" spans="2:22" s="173" customFormat="1" x14ac:dyDescent="0.35"/>
    <row r="20" spans="2:22" s="173" customFormat="1" x14ac:dyDescent="0.35"/>
    <row r="21" spans="2:22" s="173" customFormat="1" x14ac:dyDescent="0.35"/>
    <row r="22" spans="2:22" s="173" customFormat="1" x14ac:dyDescent="0.35"/>
    <row r="23" spans="2:22" s="173" customFormat="1" x14ac:dyDescent="0.35"/>
    <row r="24" spans="2:22" s="173" customFormat="1" x14ac:dyDescent="0.35"/>
    <row r="25" spans="2:22" s="173" customFormat="1" x14ac:dyDescent="0.35"/>
    <row r="26" spans="2:22" s="173" customFormat="1" x14ac:dyDescent="0.35">
      <c r="B26" s="37" t="s">
        <v>710</v>
      </c>
      <c r="L26" s="37" t="s">
        <v>716</v>
      </c>
      <c r="V26" s="37" t="s">
        <v>714</v>
      </c>
    </row>
    <row r="27" spans="2:22" s="173" customFormat="1" x14ac:dyDescent="0.35"/>
    <row r="28" spans="2:22" s="173" customFormat="1" x14ac:dyDescent="0.35"/>
    <row r="29" spans="2:22" s="173" customFormat="1" x14ac:dyDescent="0.35"/>
    <row r="30" spans="2:22" s="173" customFormat="1" x14ac:dyDescent="0.35"/>
    <row r="31" spans="2:22" s="173" customFormat="1" x14ac:dyDescent="0.35"/>
    <row r="32" spans="2:22" s="173" customFormat="1" x14ac:dyDescent="0.35"/>
    <row r="33" s="173" customFormat="1" x14ac:dyDescent="0.35"/>
    <row r="34" s="173" customFormat="1" x14ac:dyDescent="0.35"/>
    <row r="35" s="173" customFormat="1" x14ac:dyDescent="0.35"/>
    <row r="36" s="173" customFormat="1" x14ac:dyDescent="0.35"/>
    <row r="37" s="173" customFormat="1" x14ac:dyDescent="0.35"/>
    <row r="38" s="173" customFormat="1" x14ac:dyDescent="0.35"/>
    <row r="39" s="173" customFormat="1" x14ac:dyDescent="0.35"/>
    <row r="40" s="173" customFormat="1" x14ac:dyDescent="0.35"/>
    <row r="41" s="173" customFormat="1" x14ac:dyDescent="0.35"/>
    <row r="42" s="173" customFormat="1" x14ac:dyDescent="0.35"/>
    <row r="43" s="173" customFormat="1" x14ac:dyDescent="0.35"/>
    <row r="44" s="173" customFormat="1" x14ac:dyDescent="0.35"/>
    <row r="45" s="173" customFormat="1" x14ac:dyDescent="0.35"/>
    <row r="46" s="173" customFormat="1" x14ac:dyDescent="0.35"/>
    <row r="47" s="173" customFormat="1" x14ac:dyDescent="0.35"/>
    <row r="48" s="173" customFormat="1" x14ac:dyDescent="0.35"/>
    <row r="49" spans="26:30" s="173" customFormat="1" x14ac:dyDescent="0.35"/>
    <row r="50" spans="26:30" s="173" customFormat="1" x14ac:dyDescent="0.35"/>
    <row r="51" spans="26:30" s="173" customFormat="1" x14ac:dyDescent="0.35"/>
    <row r="52" spans="26:30" s="173" customFormat="1" x14ac:dyDescent="0.35"/>
    <row r="53" spans="26:30" s="173" customFormat="1" x14ac:dyDescent="0.35"/>
    <row r="54" spans="26:30" s="173" customFormat="1" x14ac:dyDescent="0.35"/>
    <row r="55" spans="26:30" s="173" customFormat="1" x14ac:dyDescent="0.35"/>
    <row r="56" spans="26:30" s="173" customFormat="1" x14ac:dyDescent="0.35"/>
    <row r="57" spans="26:30" s="173" customFormat="1" x14ac:dyDescent="0.35"/>
    <row r="58" spans="26:30" s="173" customFormat="1" x14ac:dyDescent="0.35"/>
    <row r="59" spans="26:30" s="173" customFormat="1" x14ac:dyDescent="0.35"/>
    <row r="60" spans="26:30" s="173" customFormat="1" x14ac:dyDescent="0.35"/>
    <row r="61" spans="26:30" s="173" customFormat="1" x14ac:dyDescent="0.35"/>
    <row r="62" spans="26:30" s="173" customFormat="1" x14ac:dyDescent="0.35"/>
    <row r="63" spans="26:30" s="173" customFormat="1" x14ac:dyDescent="0.35">
      <c r="Z63" s="619"/>
      <c r="AA63" s="619"/>
      <c r="AB63" s="619"/>
      <c r="AC63" s="619"/>
      <c r="AD63" s="619"/>
    </row>
    <row r="64" spans="26:30" s="173" customFormat="1" x14ac:dyDescent="0.35">
      <c r="Z64" s="620"/>
      <c r="AA64" s="620"/>
      <c r="AB64" s="620"/>
      <c r="AC64" s="620"/>
      <c r="AD64" s="620"/>
    </row>
    <row r="65" spans="26:30" s="173" customFormat="1" x14ac:dyDescent="0.35">
      <c r="Z65" s="620"/>
      <c r="AA65" s="620"/>
      <c r="AB65" s="620"/>
      <c r="AC65" s="620"/>
      <c r="AD65" s="620"/>
    </row>
    <row r="66" spans="26:30" s="173" customFormat="1" x14ac:dyDescent="0.35">
      <c r="Z66" s="620"/>
      <c r="AA66" s="620"/>
      <c r="AB66" s="620"/>
      <c r="AC66" s="620"/>
      <c r="AD66" s="620"/>
    </row>
    <row r="67" spans="26:30" s="173" customFormat="1" x14ac:dyDescent="0.35">
      <c r="Z67" s="620"/>
      <c r="AA67" s="620"/>
      <c r="AB67" s="620"/>
      <c r="AC67" s="620"/>
      <c r="AD67" s="620"/>
    </row>
    <row r="68" spans="26:30" s="173" customFormat="1" x14ac:dyDescent="0.35">
      <c r="Z68" s="620"/>
      <c r="AA68" s="620"/>
      <c r="AB68" s="620"/>
      <c r="AC68" s="620"/>
      <c r="AD68" s="620"/>
    </row>
    <row r="69" spans="26:30" s="173" customFormat="1" x14ac:dyDescent="0.35"/>
    <row r="70" spans="26:30" s="173" customFormat="1" x14ac:dyDescent="0.35"/>
    <row r="71" spans="26:30" s="173" customFormat="1" x14ac:dyDescent="0.35"/>
    <row r="72" spans="26:30" s="173" customFormat="1" x14ac:dyDescent="0.35"/>
    <row r="73" spans="26:30" s="173" customFormat="1" x14ac:dyDescent="0.35"/>
    <row r="74" spans="26:30" s="173" customFormat="1" x14ac:dyDescent="0.35"/>
    <row r="75" spans="26:30" s="173" customFormat="1" x14ac:dyDescent="0.35"/>
    <row r="76" spans="26:30" s="173" customFormat="1" x14ac:dyDescent="0.35"/>
    <row r="77" spans="26:30" s="173" customFormat="1" x14ac:dyDescent="0.35"/>
    <row r="78" spans="26:30" s="173" customFormat="1" x14ac:dyDescent="0.35"/>
    <row r="79" spans="26:30" s="173" customFormat="1" x14ac:dyDescent="0.35"/>
    <row r="80" spans="26:30" s="173" customFormat="1" x14ac:dyDescent="0.35"/>
    <row r="81" s="173" customFormat="1" x14ac:dyDescent="0.35"/>
    <row r="82" s="173" customFormat="1" x14ac:dyDescent="0.35"/>
    <row r="83" s="173" customFormat="1" x14ac:dyDescent="0.35"/>
    <row r="84" s="173" customFormat="1" x14ac:dyDescent="0.35"/>
  </sheetData>
  <sheetProtection password="CD8A" sheet="1" objects="1" scenarios="1"/>
  <conditionalFormatting sqref="A1:XFD2">
    <cfRule type="cellIs" dxfId="219" priority="2" operator="lessThan">
      <formula>0</formula>
    </cfRule>
  </conditionalFormatting>
  <conditionalFormatting sqref="Z63:AD68">
    <cfRule type="cellIs" dxfId="218" priority="1" operator="lessThan">
      <formula>0</formula>
    </cfRule>
  </conditionalFormatting>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98F20F"/>
  </sheetPr>
  <dimension ref="A1:AF49"/>
  <sheetViews>
    <sheetView workbookViewId="0">
      <pane ySplit="1" topLeftCell="A2" activePane="bottomLeft" state="frozen"/>
      <selection pane="bottomLeft" activeCell="E1" sqref="E1"/>
    </sheetView>
  </sheetViews>
  <sheetFormatPr defaultColWidth="9.1796875" defaultRowHeight="15.5" x14ac:dyDescent="0.35"/>
  <cols>
    <col min="1" max="1" width="2.6328125" style="39" customWidth="1"/>
    <col min="2" max="2" width="18.36328125" style="39" customWidth="1"/>
    <col min="3" max="3" width="9.1796875" style="55"/>
    <col min="4" max="4" width="9.1796875" style="621"/>
    <col min="5" max="6" width="9.1796875" style="55"/>
    <col min="7" max="7" width="9.1796875" style="39"/>
    <col min="8" max="8" width="2.6328125" style="39" customWidth="1"/>
    <col min="9" max="9" width="28.1796875" style="39" customWidth="1"/>
    <col min="10" max="16384" width="9.1796875" style="39"/>
  </cols>
  <sheetData>
    <row r="1" spans="1:32" s="410" customFormat="1" ht="27" customHeight="1" x14ac:dyDescent="0.35">
      <c r="A1" s="408"/>
      <c r="B1" s="408"/>
      <c r="C1" s="408"/>
      <c r="D1" s="409"/>
      <c r="E1" s="409" t="s">
        <v>720</v>
      </c>
      <c r="F1" s="408"/>
      <c r="G1" s="408"/>
      <c r="H1" s="408"/>
      <c r="I1" s="408"/>
      <c r="J1" s="408"/>
      <c r="K1" s="408" t="str">
        <f>CONCATENATE(Etusivu!$F$10,," ",Etusivu!$G$10,", ",Etusivu!$F$7," ",Etusivu!$G$7)</f>
        <v>Laskelman laatija: Lappari-elinkeino -hanke, Laskelmavuosi: 2021</v>
      </c>
      <c r="L1" s="408"/>
      <c r="M1" s="408"/>
      <c r="N1" s="408"/>
      <c r="O1" s="408"/>
      <c r="P1" s="408"/>
      <c r="Q1" s="411"/>
      <c r="R1" s="408"/>
      <c r="S1" s="408"/>
      <c r="T1" s="408"/>
      <c r="U1" s="408"/>
      <c r="V1" s="408"/>
      <c r="W1" s="408"/>
      <c r="X1" s="408"/>
      <c r="Y1" s="408"/>
      <c r="Z1" s="408"/>
      <c r="AA1" s="408"/>
      <c r="AB1" s="408"/>
      <c r="AC1" s="408"/>
      <c r="AD1" s="408"/>
      <c r="AE1" s="408"/>
      <c r="AF1" s="408"/>
    </row>
    <row r="2" spans="1:32" s="2" customFormat="1" ht="14.25" customHeight="1" x14ac:dyDescent="0.35">
      <c r="A2" s="3"/>
      <c r="B2" s="4"/>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1:32" ht="16" thickBot="1" x14ac:dyDescent="0.4"/>
    <row r="4" spans="1:32" x14ac:dyDescent="0.35">
      <c r="A4" s="77" t="s">
        <v>9</v>
      </c>
      <c r="C4" s="629" t="s">
        <v>352</v>
      </c>
      <c r="D4" s="630" t="s">
        <v>238</v>
      </c>
      <c r="E4" s="629" t="s">
        <v>498</v>
      </c>
      <c r="F4" s="629" t="s">
        <v>25</v>
      </c>
      <c r="H4" s="631" t="s">
        <v>721</v>
      </c>
      <c r="I4" s="632"/>
      <c r="J4" s="633" t="s">
        <v>25</v>
      </c>
    </row>
    <row r="5" spans="1:32" x14ac:dyDescent="0.35">
      <c r="B5" s="39" t="s">
        <v>464</v>
      </c>
      <c r="C5" s="420">
        <f>'Säilörehun tuotantokustannus'!F17</f>
        <v>8200</v>
      </c>
      <c r="H5" s="634"/>
      <c r="I5" s="640" t="s">
        <v>9</v>
      </c>
      <c r="J5" s="635">
        <f>F10</f>
        <v>0.12014544186297008</v>
      </c>
    </row>
    <row r="6" spans="1:32" ht="14.5" x14ac:dyDescent="0.35">
      <c r="B6" s="39" t="s">
        <v>717</v>
      </c>
      <c r="D6" s="420">
        <f>'Säilörehun tuotantokustannus'!O38</f>
        <v>1685.1926232763547</v>
      </c>
      <c r="E6" s="622">
        <f>IF(C5=0,0,D6/$C5*100)</f>
        <v>20.551129552150666</v>
      </c>
      <c r="F6" s="623"/>
      <c r="H6" s="634"/>
      <c r="I6" s="640" t="s">
        <v>10</v>
      </c>
      <c r="J6" s="635">
        <f>F18</f>
        <v>0</v>
      </c>
    </row>
    <row r="7" spans="1:32" s="38" customFormat="1" ht="14.5" x14ac:dyDescent="0.35">
      <c r="B7" s="38" t="s">
        <v>768</v>
      </c>
      <c r="C7" s="618"/>
      <c r="D7" s="626">
        <f>'Säilörehun tuotantokustannus'!O26+'Säilörehun tuotantokustannus'!O27</f>
        <v>187</v>
      </c>
      <c r="E7" s="627">
        <f>IF(C5=0,0,D7/$C5*100)</f>
        <v>2.2804878048780486</v>
      </c>
      <c r="F7" s="628"/>
      <c r="H7" s="636"/>
      <c r="I7" s="640" t="s">
        <v>48</v>
      </c>
      <c r="J7" s="635">
        <f>F26</f>
        <v>0</v>
      </c>
    </row>
    <row r="8" spans="1:32" ht="14.5" x14ac:dyDescent="0.35">
      <c r="B8" s="39" t="s">
        <v>718</v>
      </c>
      <c r="D8" s="420">
        <f>Lähtötiedot!K33</f>
        <v>700</v>
      </c>
      <c r="E8" s="622">
        <f>IF(C5=0,0,D8/$C5*100)</f>
        <v>8.536585365853659</v>
      </c>
      <c r="F8" s="623"/>
      <c r="H8" s="634"/>
      <c r="I8" s="640" t="s">
        <v>46</v>
      </c>
      <c r="J8" s="635">
        <f>F34</f>
        <v>0.49259631163817735</v>
      </c>
    </row>
    <row r="9" spans="1:32" ht="15" thickBot="1" x14ac:dyDescent="0.4">
      <c r="B9" s="39" t="s">
        <v>76</v>
      </c>
      <c r="D9" s="641">
        <f>Lähtötiedot!Q42</f>
        <v>0.88139743694392292</v>
      </c>
      <c r="E9" s="623"/>
      <c r="F9" s="623"/>
      <c r="H9" s="637"/>
      <c r="I9" s="638" t="s">
        <v>348</v>
      </c>
      <c r="J9" s="639">
        <f>F42</f>
        <v>0.22911456355264062</v>
      </c>
    </row>
    <row r="10" spans="1:32" x14ac:dyDescent="0.35">
      <c r="B10" s="39" t="s">
        <v>719</v>
      </c>
      <c r="D10" s="625">
        <f>D6-D8</f>
        <v>985.19262327635465</v>
      </c>
      <c r="E10" s="622">
        <f>IF(C5=0,0,D10/$C5*100)</f>
        <v>12.014544186297007</v>
      </c>
      <c r="F10" s="622">
        <f>E10/100</f>
        <v>0.12014544186297008</v>
      </c>
    </row>
    <row r="12" spans="1:32" x14ac:dyDescent="0.35">
      <c r="A12" s="77" t="s">
        <v>10</v>
      </c>
      <c r="C12" s="629" t="s">
        <v>352</v>
      </c>
      <c r="D12" s="630" t="s">
        <v>238</v>
      </c>
      <c r="E12" s="629" t="s">
        <v>39</v>
      </c>
      <c r="F12" s="629" t="s">
        <v>25</v>
      </c>
    </row>
    <row r="13" spans="1:32" x14ac:dyDescent="0.35">
      <c r="C13" s="420">
        <f>'Säilörehun tuotantokustannus'!F18</f>
        <v>0</v>
      </c>
    </row>
    <row r="14" spans="1:32" x14ac:dyDescent="0.35">
      <c r="B14" s="39" t="s">
        <v>717</v>
      </c>
      <c r="D14" s="625">
        <f>IF(C13=0,0,$D$6)</f>
        <v>0</v>
      </c>
      <c r="E14" s="622">
        <f>IF(C13=0,0,D14/$C13*100)</f>
        <v>0</v>
      </c>
      <c r="F14" s="623"/>
    </row>
    <row r="15" spans="1:32" x14ac:dyDescent="0.35">
      <c r="B15" s="38" t="s">
        <v>768</v>
      </c>
      <c r="D15" s="624">
        <f>Lähtötiedot!G43*'Säilörehun tuotantokustannus'!P26</f>
        <v>187</v>
      </c>
      <c r="E15" s="622">
        <f>IF(C13=0,0,D15/$C13*100)</f>
        <v>0</v>
      </c>
      <c r="F15" s="623"/>
    </row>
    <row r="16" spans="1:32" ht="14.5" x14ac:dyDescent="0.35">
      <c r="B16" s="39" t="s">
        <v>718</v>
      </c>
      <c r="D16" s="420">
        <f>Lähtötiedot!K34</f>
        <v>0</v>
      </c>
      <c r="E16" s="622">
        <f>IF(C13=0,0,D16/$C13*100)</f>
        <v>0</v>
      </c>
      <c r="F16" s="623"/>
    </row>
    <row r="17" spans="1:6" ht="14.5" x14ac:dyDescent="0.35">
      <c r="B17" s="39" t="s">
        <v>76</v>
      </c>
      <c r="D17" s="641">
        <f>Lähtötiedot!Q43</f>
        <v>0</v>
      </c>
      <c r="E17" s="623"/>
      <c r="F17" s="623"/>
    </row>
    <row r="18" spans="1:6" x14ac:dyDescent="0.35">
      <c r="B18" s="39" t="s">
        <v>719</v>
      </c>
      <c r="D18" s="625">
        <f>D14-D16</f>
        <v>0</v>
      </c>
      <c r="E18" s="622">
        <f>IF(C13=0,0,D18/$C13*100)</f>
        <v>0</v>
      </c>
      <c r="F18" s="622">
        <f>E18/100</f>
        <v>0</v>
      </c>
    </row>
    <row r="20" spans="1:6" x14ac:dyDescent="0.35">
      <c r="A20" s="77" t="s">
        <v>48</v>
      </c>
      <c r="C20" s="629" t="s">
        <v>352</v>
      </c>
      <c r="D20" s="630" t="s">
        <v>238</v>
      </c>
      <c r="E20" s="629" t="s">
        <v>39</v>
      </c>
      <c r="F20" s="629" t="s">
        <v>25</v>
      </c>
    </row>
    <row r="21" spans="1:6" x14ac:dyDescent="0.35">
      <c r="C21" s="420">
        <f>'Säilörehun tuotantokustannus'!F19</f>
        <v>0</v>
      </c>
    </row>
    <row r="22" spans="1:6" x14ac:dyDescent="0.35">
      <c r="B22" s="39" t="s">
        <v>717</v>
      </c>
      <c r="D22" s="625">
        <f>IF(C21=0,0,$D$6)</f>
        <v>0</v>
      </c>
      <c r="E22" s="622">
        <f>IF(C21=0,0,D22/$C21*100)</f>
        <v>0</v>
      </c>
      <c r="F22" s="623"/>
    </row>
    <row r="23" spans="1:6" x14ac:dyDescent="0.35">
      <c r="B23" s="38" t="s">
        <v>768</v>
      </c>
      <c r="D23" s="624">
        <f>Lähtötiedot!G44*'Säilörehun tuotantokustannus'!P26</f>
        <v>187</v>
      </c>
      <c r="E23" s="622">
        <f>IF(C21=0,0,D23/$C21*100)</f>
        <v>0</v>
      </c>
      <c r="F23" s="623"/>
    </row>
    <row r="24" spans="1:6" ht="14.5" x14ac:dyDescent="0.35">
      <c r="B24" s="39" t="s">
        <v>718</v>
      </c>
      <c r="D24" s="420">
        <f>Lähtötiedot!K35</f>
        <v>700</v>
      </c>
      <c r="E24" s="622">
        <f>IF(C21=0,0,D24/$C21*100)</f>
        <v>0</v>
      </c>
      <c r="F24" s="623"/>
    </row>
    <row r="25" spans="1:6" ht="14.5" x14ac:dyDescent="0.35">
      <c r="B25" s="39" t="s">
        <v>76</v>
      </c>
      <c r="D25" s="641">
        <f>Lähtötiedot!Q44</f>
        <v>0</v>
      </c>
      <c r="E25" s="623"/>
      <c r="F25" s="623"/>
    </row>
    <row r="26" spans="1:6" x14ac:dyDescent="0.35">
      <c r="B26" s="39" t="s">
        <v>719</v>
      </c>
      <c r="D26" s="625">
        <f>D22-D24</f>
        <v>-700</v>
      </c>
      <c r="E26" s="622">
        <f>IF(C21=0,0,D26/$C21*100)</f>
        <v>0</v>
      </c>
      <c r="F26" s="622">
        <f>E26/100</f>
        <v>0</v>
      </c>
    </row>
    <row r="28" spans="1:6" x14ac:dyDescent="0.35">
      <c r="A28" s="77" t="s">
        <v>46</v>
      </c>
      <c r="C28" s="629" t="s">
        <v>352</v>
      </c>
      <c r="D28" s="630" t="s">
        <v>238</v>
      </c>
      <c r="E28" s="629" t="s">
        <v>39</v>
      </c>
      <c r="F28" s="629" t="s">
        <v>25</v>
      </c>
    </row>
    <row r="29" spans="1:6" x14ac:dyDescent="0.35">
      <c r="C29" s="420">
        <f>'Säilörehun tuotantokustannus'!F20</f>
        <v>2000</v>
      </c>
    </row>
    <row r="30" spans="1:6" x14ac:dyDescent="0.35">
      <c r="B30" s="39" t="s">
        <v>717</v>
      </c>
      <c r="D30" s="625">
        <f>IF(C29=0,0,$D$6)</f>
        <v>1685.1926232763547</v>
      </c>
      <c r="E30" s="622">
        <f>IF(C29=0,0,D30/$C29*100)</f>
        <v>84.25963116381773</v>
      </c>
      <c r="F30" s="623"/>
    </row>
    <row r="31" spans="1:6" x14ac:dyDescent="0.35">
      <c r="B31" s="38" t="s">
        <v>768</v>
      </c>
      <c r="D31" s="624">
        <f>Lähtötiedot!G45*'Säilörehun tuotantokustannus'!P26</f>
        <v>187</v>
      </c>
      <c r="E31" s="622">
        <f>IF(C29=0,0,D31/$C29*100)</f>
        <v>9.35</v>
      </c>
      <c r="F31" s="623"/>
    </row>
    <row r="32" spans="1:6" ht="14.5" x14ac:dyDescent="0.35">
      <c r="B32" s="39" t="s">
        <v>718</v>
      </c>
      <c r="D32" s="420">
        <f>Lähtötiedot!K36</f>
        <v>700</v>
      </c>
      <c r="E32" s="622">
        <f>IF(C29=0,0,D32/$C29*100)</f>
        <v>35</v>
      </c>
      <c r="F32" s="623"/>
    </row>
    <row r="33" spans="1:11" ht="14.5" x14ac:dyDescent="0.35">
      <c r="B33" s="39" t="s">
        <v>76</v>
      </c>
      <c r="D33" s="641">
        <f>Lähtötiedot!Q45</f>
        <v>4.4894294343318909E-2</v>
      </c>
      <c r="E33" s="623"/>
      <c r="F33" s="623"/>
    </row>
    <row r="34" spans="1:11" x14ac:dyDescent="0.35">
      <c r="B34" s="39" t="s">
        <v>719</v>
      </c>
      <c r="D34" s="625">
        <f>D30-D32</f>
        <v>985.19262327635465</v>
      </c>
      <c r="E34" s="622">
        <f>IF(C29=0,0,D34/$C29*100)</f>
        <v>49.259631163817737</v>
      </c>
      <c r="F34" s="622">
        <f>E34/100</f>
        <v>0.49259631163817735</v>
      </c>
    </row>
    <row r="36" spans="1:11" x14ac:dyDescent="0.35">
      <c r="A36" s="77" t="s">
        <v>348</v>
      </c>
      <c r="C36" s="629" t="s">
        <v>352</v>
      </c>
      <c r="D36" s="630" t="s">
        <v>238</v>
      </c>
      <c r="E36" s="629" t="s">
        <v>39</v>
      </c>
      <c r="F36" s="629" t="s">
        <v>25</v>
      </c>
    </row>
    <row r="37" spans="1:11" x14ac:dyDescent="0.35">
      <c r="C37" s="420">
        <f>'Säilörehun tuotantokustannus'!F21</f>
        <v>4300</v>
      </c>
    </row>
    <row r="38" spans="1:11" x14ac:dyDescent="0.35">
      <c r="B38" s="39" t="s">
        <v>717</v>
      </c>
      <c r="D38" s="625">
        <f>IF(C37=0,0,$D$6)</f>
        <v>1685.1926232763547</v>
      </c>
      <c r="E38" s="622">
        <f>IF(C37=0,0,D38/$C37*100)</f>
        <v>39.190526122705919</v>
      </c>
      <c r="F38" s="623"/>
    </row>
    <row r="39" spans="1:11" x14ac:dyDescent="0.35">
      <c r="B39" s="38" t="s">
        <v>768</v>
      </c>
      <c r="D39" s="624">
        <f>Lähtötiedot!G46*'Säilörehun tuotantokustannus'!P26</f>
        <v>187</v>
      </c>
      <c r="E39" s="622">
        <f>IF(C37=0,0,D39/$C37*100)</f>
        <v>4.3488372093023253</v>
      </c>
      <c r="F39" s="623"/>
    </row>
    <row r="40" spans="1:11" ht="14.5" x14ac:dyDescent="0.35">
      <c r="B40" s="39" t="s">
        <v>718</v>
      </c>
      <c r="D40" s="420">
        <f>Lähtötiedot!K37</f>
        <v>700</v>
      </c>
      <c r="E40" s="622">
        <f>IF(C37=0,0,D40/$C37*100)</f>
        <v>16.279069767441861</v>
      </c>
      <c r="F40" s="623"/>
    </row>
    <row r="41" spans="1:11" ht="14.5" x14ac:dyDescent="0.35">
      <c r="B41" s="39" t="s">
        <v>76</v>
      </c>
      <c r="D41" s="641">
        <f>Lähtötiedot!Q46</f>
        <v>7.3708268712758138E-2</v>
      </c>
      <c r="E41" s="623"/>
      <c r="F41" s="623"/>
    </row>
    <row r="42" spans="1:11" x14ac:dyDescent="0.35">
      <c r="B42" s="39" t="s">
        <v>719</v>
      </c>
      <c r="D42" s="625">
        <f>D38-D40</f>
        <v>985.19262327635465</v>
      </c>
      <c r="E42" s="622">
        <f>IF(C37=0,0,D42/$C37*100)</f>
        <v>22.911456355264061</v>
      </c>
      <c r="F42" s="622">
        <f>E42/100</f>
        <v>0.22911456355264062</v>
      </c>
    </row>
    <row r="44" spans="1:11" x14ac:dyDescent="0.35">
      <c r="H44" s="49"/>
      <c r="I44" s="457"/>
      <c r="J44" s="458"/>
      <c r="K44" s="458"/>
    </row>
    <row r="45" spans="1:11" x14ac:dyDescent="0.35">
      <c r="H45" s="49"/>
      <c r="I45" s="460"/>
      <c r="J45" s="461"/>
      <c r="K45" s="461"/>
    </row>
    <row r="46" spans="1:11" x14ac:dyDescent="0.35">
      <c r="H46" s="49"/>
      <c r="I46" s="460"/>
      <c r="J46" s="461"/>
      <c r="K46" s="461"/>
    </row>
    <row r="47" spans="1:11" x14ac:dyDescent="0.35">
      <c r="H47" s="49"/>
      <c r="I47" s="460"/>
      <c r="J47" s="461"/>
      <c r="K47" s="461"/>
    </row>
    <row r="48" spans="1:11" x14ac:dyDescent="0.35">
      <c r="H48" s="49"/>
      <c r="I48" s="460"/>
      <c r="J48" s="461"/>
      <c r="K48" s="461"/>
    </row>
    <row r="49" spans="8:11" x14ac:dyDescent="0.35">
      <c r="H49" s="49"/>
      <c r="I49" s="462"/>
      <c r="J49" s="459"/>
      <c r="K49" s="459"/>
    </row>
  </sheetData>
  <sheetProtection algorithmName="SHA-512" hashValue="/P7FEVjR7/Uob8I4QI7HqOJikfbA8Nr9qOZvP/WkcB7NVQPGT8Z/Cad7Uj4RLOOya90YwsiAHplFDTAxt87iwg==" saltValue="0Nz6tvaxEIYw00HENhvQcQ==" spinCount="100000" sheet="1" objects="1" scenarios="1"/>
  <conditionalFormatting sqref="C37 A1:XFD2">
    <cfRule type="cellIs" dxfId="217" priority="62" operator="lessThan">
      <formula>0</formula>
    </cfRule>
  </conditionalFormatting>
  <conditionalFormatting sqref="C29">
    <cfRule type="cellIs" dxfId="216" priority="61" operator="lessThan">
      <formula>0</formula>
    </cfRule>
  </conditionalFormatting>
  <conditionalFormatting sqref="C21">
    <cfRule type="cellIs" dxfId="215" priority="60" operator="lessThan">
      <formula>0</formula>
    </cfRule>
  </conditionalFormatting>
  <conditionalFormatting sqref="C13">
    <cfRule type="cellIs" dxfId="214" priority="59" operator="lessThan">
      <formula>0</formula>
    </cfRule>
  </conditionalFormatting>
  <conditionalFormatting sqref="E6:F10">
    <cfRule type="cellIs" dxfId="213" priority="52" operator="lessThan">
      <formula>0</formula>
    </cfRule>
  </conditionalFormatting>
  <conditionalFormatting sqref="D10">
    <cfRule type="cellIs" dxfId="212" priority="57" operator="lessThan">
      <formula>0</formula>
    </cfRule>
  </conditionalFormatting>
  <conditionalFormatting sqref="D18">
    <cfRule type="cellIs" dxfId="211" priority="56" operator="lessThan">
      <formula>0</formula>
    </cfRule>
  </conditionalFormatting>
  <conditionalFormatting sqref="D26">
    <cfRule type="cellIs" dxfId="210" priority="55" operator="lessThan">
      <formula>0</formula>
    </cfRule>
  </conditionalFormatting>
  <conditionalFormatting sqref="D34">
    <cfRule type="cellIs" dxfId="209" priority="54" operator="lessThan">
      <formula>0</formula>
    </cfRule>
  </conditionalFormatting>
  <conditionalFormatting sqref="D42">
    <cfRule type="cellIs" dxfId="208" priority="53" operator="lessThan">
      <formula>0</formula>
    </cfRule>
  </conditionalFormatting>
  <conditionalFormatting sqref="E38:E40 E42">
    <cfRule type="cellIs" dxfId="207" priority="48" operator="lessThan">
      <formula>0</formula>
    </cfRule>
  </conditionalFormatting>
  <conditionalFormatting sqref="E14:E16 E18">
    <cfRule type="cellIs" dxfId="206" priority="51" operator="lessThan">
      <formula>0</formula>
    </cfRule>
  </conditionalFormatting>
  <conditionalFormatting sqref="E22:E24 E26">
    <cfRule type="cellIs" dxfId="205" priority="50" operator="lessThan">
      <formula>0</formula>
    </cfRule>
  </conditionalFormatting>
  <conditionalFormatting sqref="E30:E32 E34">
    <cfRule type="cellIs" dxfId="204" priority="49" operator="lessThan">
      <formula>0</formula>
    </cfRule>
  </conditionalFormatting>
  <conditionalFormatting sqref="F38:F40 F42">
    <cfRule type="cellIs" dxfId="203" priority="44" operator="lessThan">
      <formula>0</formula>
    </cfRule>
  </conditionalFormatting>
  <conditionalFormatting sqref="F30:F32 F34">
    <cfRule type="cellIs" dxfId="202" priority="45" operator="lessThan">
      <formula>0</formula>
    </cfRule>
  </conditionalFormatting>
  <conditionalFormatting sqref="F14:F16 F18">
    <cfRule type="cellIs" dxfId="201" priority="47" operator="lessThan">
      <formula>0</formula>
    </cfRule>
  </conditionalFormatting>
  <conditionalFormatting sqref="F22:F24 F26">
    <cfRule type="cellIs" dxfId="200" priority="46" operator="lessThan">
      <formula>0</formula>
    </cfRule>
  </conditionalFormatting>
  <conditionalFormatting sqref="D9">
    <cfRule type="cellIs" dxfId="199" priority="41" operator="lessThan">
      <formula>0</formula>
    </cfRule>
  </conditionalFormatting>
  <conditionalFormatting sqref="D7">
    <cfRule type="cellIs" dxfId="198" priority="40" operator="lessThan">
      <formula>0</formula>
    </cfRule>
  </conditionalFormatting>
  <conditionalFormatting sqref="D14">
    <cfRule type="cellIs" dxfId="197" priority="37" operator="lessThan">
      <formula>0</formula>
    </cfRule>
  </conditionalFormatting>
  <conditionalFormatting sqref="D15">
    <cfRule type="cellIs" dxfId="196" priority="36" operator="lessThan">
      <formula>0</formula>
    </cfRule>
  </conditionalFormatting>
  <conditionalFormatting sqref="D23">
    <cfRule type="cellIs" dxfId="195" priority="32" operator="lessThan">
      <formula>0</formula>
    </cfRule>
  </conditionalFormatting>
  <conditionalFormatting sqref="D31">
    <cfRule type="cellIs" dxfId="194" priority="28" operator="lessThan">
      <formula>0</formula>
    </cfRule>
  </conditionalFormatting>
  <conditionalFormatting sqref="D39">
    <cfRule type="cellIs" dxfId="193" priority="24" operator="lessThan">
      <formula>0</formula>
    </cfRule>
  </conditionalFormatting>
  <conditionalFormatting sqref="E17:F17">
    <cfRule type="cellIs" dxfId="192" priority="23" operator="lessThan">
      <formula>0</formula>
    </cfRule>
  </conditionalFormatting>
  <conditionalFormatting sqref="E25:F25">
    <cfRule type="cellIs" dxfId="191" priority="22" operator="lessThan">
      <formula>0</formula>
    </cfRule>
  </conditionalFormatting>
  <conditionalFormatting sqref="E33:F33">
    <cfRule type="cellIs" dxfId="190" priority="21" operator="lessThan">
      <formula>0</formula>
    </cfRule>
  </conditionalFormatting>
  <conditionalFormatting sqref="E41:F41">
    <cfRule type="cellIs" dxfId="189" priority="20" operator="lessThan">
      <formula>0</formula>
    </cfRule>
  </conditionalFormatting>
  <conditionalFormatting sqref="D6">
    <cfRule type="cellIs" dxfId="188" priority="19" operator="lessThan">
      <formula>0</formula>
    </cfRule>
  </conditionalFormatting>
  <conditionalFormatting sqref="D8">
    <cfRule type="cellIs" dxfId="187" priority="18" operator="lessThan">
      <formula>0</formula>
    </cfRule>
  </conditionalFormatting>
  <conditionalFormatting sqref="C5">
    <cfRule type="cellIs" dxfId="186" priority="17" operator="lessThan">
      <formula>0</formula>
    </cfRule>
  </conditionalFormatting>
  <conditionalFormatting sqref="D16">
    <cfRule type="cellIs" dxfId="185" priority="16" operator="lessThan">
      <formula>0</formula>
    </cfRule>
  </conditionalFormatting>
  <conditionalFormatting sqref="D24">
    <cfRule type="cellIs" dxfId="184" priority="15" operator="lessThan">
      <formula>0</formula>
    </cfRule>
  </conditionalFormatting>
  <conditionalFormatting sqref="D32">
    <cfRule type="cellIs" dxfId="183" priority="14" operator="lessThan">
      <formula>0</formula>
    </cfRule>
  </conditionalFormatting>
  <conditionalFormatting sqref="D40">
    <cfRule type="cellIs" dxfId="182" priority="13" operator="lessThan">
      <formula>0</formula>
    </cfRule>
  </conditionalFormatting>
  <conditionalFormatting sqref="J5:J9">
    <cfRule type="cellIs" dxfId="181" priority="11" operator="lessThan">
      <formula>0</formula>
    </cfRule>
  </conditionalFormatting>
  <conditionalFormatting sqref="D17">
    <cfRule type="cellIs" dxfId="180" priority="10" operator="lessThan">
      <formula>0</formula>
    </cfRule>
  </conditionalFormatting>
  <conditionalFormatting sqref="D25">
    <cfRule type="cellIs" dxfId="179" priority="9" operator="lessThan">
      <formula>0</formula>
    </cfRule>
  </conditionalFormatting>
  <conditionalFormatting sqref="D33">
    <cfRule type="cellIs" dxfId="178" priority="8" operator="lessThan">
      <formula>0</formula>
    </cfRule>
  </conditionalFormatting>
  <conditionalFormatting sqref="D41">
    <cfRule type="cellIs" dxfId="177" priority="7" operator="lessThan">
      <formula>0</formula>
    </cfRule>
  </conditionalFormatting>
  <conditionalFormatting sqref="D22">
    <cfRule type="cellIs" dxfId="176" priority="3" operator="lessThan">
      <formula>0</formula>
    </cfRule>
  </conditionalFormatting>
  <conditionalFormatting sqref="D30">
    <cfRule type="cellIs" dxfId="175" priority="2" operator="lessThan">
      <formula>0</formula>
    </cfRule>
  </conditionalFormatting>
  <conditionalFormatting sqref="D38">
    <cfRule type="cellIs" dxfId="174" priority="1" operator="lessThan">
      <formula>0</formula>
    </cfRule>
  </conditionalFormatting>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Taul10">
    <pageSetUpPr fitToPage="1"/>
  </sheetPr>
  <dimension ref="A1:BD350"/>
  <sheetViews>
    <sheetView topLeftCell="M1" zoomScale="85" zoomScaleNormal="85" workbookViewId="0">
      <pane ySplit="1" topLeftCell="A35" activePane="bottomLeft" state="frozen"/>
      <selection activeCell="E1" sqref="E1"/>
      <selection pane="bottomLeft" activeCell="C1" sqref="C1:O1"/>
    </sheetView>
  </sheetViews>
  <sheetFormatPr defaultColWidth="9.1796875" defaultRowHeight="14.5" x14ac:dyDescent="0.35"/>
  <cols>
    <col min="1" max="1" width="2.6328125" style="49" customWidth="1"/>
    <col min="2" max="2" width="18.6328125" style="49" customWidth="1"/>
    <col min="3" max="3" width="17.6328125" style="44" customWidth="1"/>
    <col min="4" max="9" width="10.6328125" style="44" customWidth="1"/>
    <col min="10" max="10" width="2.6328125" style="49" customWidth="1"/>
    <col min="11" max="11" width="2.6328125" style="44" customWidth="1"/>
    <col min="12" max="12" width="14.6328125" style="44" customWidth="1"/>
    <col min="13" max="13" width="8.6328125" style="44" customWidth="1"/>
    <col min="14" max="15" width="10.6328125" style="44" customWidth="1"/>
    <col min="16" max="17" width="2.6328125" style="49" customWidth="1"/>
    <col min="18" max="18" width="17.6328125" style="44" customWidth="1"/>
    <col min="19" max="24" width="10.6328125" style="44" customWidth="1"/>
    <col min="25" max="25" width="2.6328125" style="49" customWidth="1"/>
    <col min="26" max="26" width="2.6328125" style="44" customWidth="1"/>
    <col min="27" max="27" width="14.6328125" style="44" customWidth="1"/>
    <col min="28" max="28" width="8.6328125" style="44" customWidth="1"/>
    <col min="29" max="30" width="10.6328125" style="44" customWidth="1"/>
    <col min="31" max="31" width="2.6328125" style="49" customWidth="1"/>
    <col min="32" max="56" width="9.1796875" style="396"/>
    <col min="57" max="16384" width="9.1796875" style="196"/>
  </cols>
  <sheetData>
    <row r="1" spans="1:56" s="410" customFormat="1" ht="27" customHeight="1" x14ac:dyDescent="0.35">
      <c r="A1" s="408"/>
      <c r="B1" s="408"/>
      <c r="C1" s="880" t="s">
        <v>690</v>
      </c>
      <c r="D1" s="880"/>
      <c r="E1" s="880"/>
      <c r="F1" s="880"/>
      <c r="G1" s="880"/>
      <c r="H1" s="880"/>
      <c r="I1" s="880"/>
      <c r="J1" s="880"/>
      <c r="K1" s="880"/>
      <c r="L1" s="880"/>
      <c r="M1" s="880"/>
      <c r="N1" s="880"/>
      <c r="O1" s="880"/>
      <c r="P1" s="408"/>
      <c r="Q1" s="408"/>
      <c r="R1" s="880" t="s">
        <v>691</v>
      </c>
      <c r="S1" s="880"/>
      <c r="T1" s="880"/>
      <c r="U1" s="880"/>
      <c r="V1" s="880"/>
      <c r="W1" s="880"/>
      <c r="X1" s="880"/>
      <c r="Y1" s="880"/>
      <c r="Z1" s="880"/>
      <c r="AA1" s="880"/>
      <c r="AB1" s="880"/>
      <c r="AC1" s="880"/>
      <c r="AD1" s="880"/>
      <c r="AE1" s="408"/>
      <c r="AF1" s="408"/>
      <c r="AG1" s="408"/>
      <c r="AH1" s="408"/>
      <c r="AI1" s="408"/>
      <c r="AJ1" s="408"/>
      <c r="AK1" s="408"/>
      <c r="AL1" s="408"/>
      <c r="AM1" s="408"/>
      <c r="AN1" s="408"/>
      <c r="AO1" s="408"/>
      <c r="AP1" s="408"/>
      <c r="AQ1" s="408"/>
      <c r="AR1" s="408"/>
      <c r="AS1" s="408"/>
      <c r="AT1" s="408"/>
      <c r="AU1" s="408"/>
      <c r="AV1" s="408"/>
      <c r="AW1" s="408"/>
      <c r="AX1" s="408"/>
      <c r="AY1" s="408"/>
      <c r="AZ1" s="408"/>
      <c r="BA1" s="408"/>
      <c r="BB1" s="408"/>
      <c r="BC1" s="408"/>
      <c r="BD1" s="408"/>
    </row>
    <row r="2" spans="1:56" s="594" customFormat="1" ht="27" customHeight="1" x14ac:dyDescent="0.35">
      <c r="A2" s="589"/>
      <c r="B2" s="590"/>
      <c r="C2" s="590"/>
      <c r="D2" s="590"/>
      <c r="E2" s="590"/>
      <c r="F2" s="591" t="s">
        <v>540</v>
      </c>
      <c r="G2" s="592" t="s">
        <v>41</v>
      </c>
      <c r="H2" s="590"/>
      <c r="I2" s="590"/>
      <c r="J2" s="590"/>
      <c r="K2" s="590"/>
      <c r="L2" s="590"/>
      <c r="M2" s="590"/>
      <c r="N2" s="590"/>
      <c r="O2" s="590"/>
      <c r="P2" s="589"/>
      <c r="Q2" s="589"/>
      <c r="R2" s="590"/>
      <c r="S2" s="590"/>
      <c r="T2" s="590"/>
      <c r="U2" s="591" t="str">
        <f>F2</f>
        <v>Säilörehu,</v>
      </c>
      <c r="V2" s="592" t="s">
        <v>42</v>
      </c>
      <c r="W2" s="590"/>
      <c r="X2" s="590"/>
      <c r="Y2" s="590"/>
      <c r="Z2" s="590"/>
      <c r="AA2" s="590"/>
      <c r="AB2" s="590"/>
      <c r="AC2" s="590"/>
      <c r="AD2" s="590"/>
      <c r="AE2" s="589"/>
      <c r="AF2" s="593"/>
      <c r="AG2" s="593"/>
      <c r="AH2" s="593"/>
      <c r="AI2" s="593"/>
      <c r="AJ2" s="593"/>
      <c r="AK2" s="593"/>
      <c r="AL2" s="593"/>
      <c r="AM2" s="593"/>
      <c r="AN2" s="593"/>
      <c r="AO2" s="593"/>
      <c r="AP2" s="593"/>
      <c r="AQ2" s="593"/>
      <c r="AR2" s="593"/>
      <c r="AS2" s="593"/>
      <c r="AT2" s="593"/>
      <c r="AU2" s="593"/>
      <c r="AV2" s="593"/>
      <c r="AW2" s="593"/>
      <c r="AX2" s="593"/>
      <c r="AY2" s="593"/>
      <c r="AZ2" s="593"/>
      <c r="BA2" s="593"/>
      <c r="BB2" s="593"/>
      <c r="BC2" s="593"/>
      <c r="BD2" s="593"/>
    </row>
    <row r="3" spans="1:56" ht="18.75" customHeight="1" x14ac:dyDescent="0.45">
      <c r="B3" s="588"/>
      <c r="C3" s="573" t="s">
        <v>463</v>
      </c>
      <c r="D3" s="574"/>
      <c r="E3" s="574"/>
      <c r="F3" s="574"/>
      <c r="G3" s="581">
        <v>133</v>
      </c>
      <c r="H3" s="580">
        <v>132</v>
      </c>
      <c r="I3" s="580" t="s">
        <v>6</v>
      </c>
      <c r="J3" s="37"/>
      <c r="K3" s="39"/>
      <c r="L3" s="39"/>
      <c r="M3" s="39"/>
      <c r="N3" s="39"/>
      <c r="O3" s="39"/>
      <c r="R3" s="573" t="s">
        <v>463</v>
      </c>
      <c r="S3" s="574"/>
      <c r="T3" s="574"/>
      <c r="U3" s="574"/>
      <c r="V3" s="581">
        <v>213</v>
      </c>
      <c r="W3" s="580">
        <v>117</v>
      </c>
      <c r="X3" s="580" t="s">
        <v>6</v>
      </c>
      <c r="Y3" s="37"/>
      <c r="Z3" s="39"/>
      <c r="AA3" s="39"/>
      <c r="AB3" s="39"/>
      <c r="AC3" s="39"/>
      <c r="AD3" s="39"/>
    </row>
    <row r="4" spans="1:56" ht="22" x14ac:dyDescent="0.35">
      <c r="B4" s="588"/>
      <c r="C4" s="51" t="s">
        <v>77</v>
      </c>
      <c r="E4" s="299" t="s">
        <v>496</v>
      </c>
      <c r="F4" s="299" t="s">
        <v>25</v>
      </c>
      <c r="G4" s="268" t="s">
        <v>238</v>
      </c>
      <c r="H4" s="184" t="s">
        <v>463</v>
      </c>
      <c r="I4" s="184"/>
      <c r="J4" s="37"/>
      <c r="K4" s="39"/>
      <c r="L4" s="39"/>
      <c r="M4" s="39"/>
      <c r="N4" s="39"/>
      <c r="O4" s="39"/>
      <c r="R4" s="51" t="s">
        <v>77</v>
      </c>
      <c r="T4" s="299" t="s">
        <v>496</v>
      </c>
      <c r="U4" s="299" t="s">
        <v>25</v>
      </c>
      <c r="V4" s="268" t="s">
        <v>238</v>
      </c>
      <c r="W4" s="184" t="s">
        <v>463</v>
      </c>
      <c r="X4" s="184"/>
      <c r="Y4" s="37"/>
      <c r="Z4" s="39"/>
      <c r="AA4" s="39"/>
      <c r="AB4" s="39"/>
      <c r="AC4" s="39"/>
      <c r="AD4" s="39"/>
    </row>
    <row r="5" spans="1:56" x14ac:dyDescent="0.35">
      <c r="B5" s="588"/>
      <c r="C5" s="877" t="s">
        <v>279</v>
      </c>
      <c r="D5" s="878"/>
      <c r="E5" s="36">
        <v>7975</v>
      </c>
      <c r="F5" s="124">
        <v>0.12</v>
      </c>
      <c r="G5" s="269">
        <f>E5*F5</f>
        <v>957</v>
      </c>
      <c r="H5" s="184" t="s">
        <v>464</v>
      </c>
      <c r="I5" s="220">
        <f>G5</f>
        <v>957</v>
      </c>
      <c r="J5" s="37"/>
      <c r="K5" s="39"/>
      <c r="L5" s="39"/>
      <c r="M5" s="39"/>
      <c r="N5" s="39"/>
      <c r="O5" s="39"/>
      <c r="R5" s="877" t="s">
        <v>279</v>
      </c>
      <c r="S5" s="878"/>
      <c r="T5" s="36">
        <v>8800</v>
      </c>
      <c r="U5" s="124">
        <v>0.1086</v>
      </c>
      <c r="V5" s="269">
        <f>T5*U5</f>
        <v>955.68000000000006</v>
      </c>
      <c r="W5" s="184" t="s">
        <v>464</v>
      </c>
      <c r="X5" s="220">
        <f>V5</f>
        <v>955.68000000000006</v>
      </c>
      <c r="Y5" s="37"/>
      <c r="Z5" s="39"/>
      <c r="AA5" s="39"/>
      <c r="AB5" s="39"/>
      <c r="AC5" s="39"/>
      <c r="AD5" s="39"/>
    </row>
    <row r="6" spans="1:56" s="195" customFormat="1" x14ac:dyDescent="0.35">
      <c r="A6" s="49"/>
      <c r="B6" s="588"/>
      <c r="C6" s="39"/>
      <c r="D6" s="39"/>
      <c r="E6" s="39"/>
      <c r="F6" s="39"/>
      <c r="G6" s="89"/>
      <c r="H6" s="184" t="s">
        <v>465</v>
      </c>
      <c r="I6" s="258">
        <f>G7</f>
        <v>586.36363636363637</v>
      </c>
      <c r="J6" s="37"/>
      <c r="K6" s="39"/>
      <c r="L6" s="39"/>
      <c r="M6" s="39"/>
      <c r="N6" s="39"/>
      <c r="O6" s="39"/>
      <c r="P6" s="49"/>
      <c r="Q6" s="49"/>
      <c r="R6" s="39"/>
      <c r="S6" s="39"/>
      <c r="T6" s="39"/>
      <c r="U6" s="39"/>
      <c r="V6" s="89"/>
      <c r="W6" s="184" t="s">
        <v>465</v>
      </c>
      <c r="X6" s="258">
        <f>V7</f>
        <v>586.32478632478637</v>
      </c>
      <c r="Y6" s="37"/>
      <c r="Z6" s="39"/>
      <c r="AA6" s="39"/>
      <c r="AB6" s="39"/>
      <c r="AC6" s="39"/>
      <c r="AD6" s="39"/>
      <c r="AE6" s="49"/>
      <c r="AF6" s="397"/>
      <c r="AG6" s="397"/>
      <c r="AH6" s="397"/>
      <c r="AI6" s="397"/>
      <c r="AJ6" s="397"/>
      <c r="AK6" s="397"/>
      <c r="AL6" s="397"/>
      <c r="AM6" s="397"/>
      <c r="AN6" s="397"/>
      <c r="AO6" s="397"/>
      <c r="AP6" s="397"/>
      <c r="AQ6" s="397"/>
      <c r="AR6" s="397"/>
      <c r="AS6" s="397"/>
      <c r="AT6" s="397"/>
      <c r="AU6" s="397"/>
      <c r="AV6" s="397"/>
      <c r="AW6" s="397"/>
      <c r="AX6" s="397"/>
      <c r="AY6" s="397"/>
      <c r="AZ6" s="397"/>
      <c r="BA6" s="397"/>
      <c r="BB6" s="397"/>
      <c r="BC6" s="397"/>
      <c r="BD6" s="397"/>
    </row>
    <row r="7" spans="1:56" ht="15" thickBot="1" x14ac:dyDescent="0.4">
      <c r="B7" s="588"/>
      <c r="C7" s="128" t="s">
        <v>280</v>
      </c>
      <c r="D7" s="36">
        <v>77400</v>
      </c>
      <c r="E7" s="126" t="s">
        <v>281</v>
      </c>
      <c r="F7" s="124">
        <f>G7/E5</f>
        <v>7.3525220860644058E-2</v>
      </c>
      <c r="G7" s="270">
        <f>D7/H$3</f>
        <v>586.36363636363637</v>
      </c>
      <c r="H7" s="259"/>
      <c r="I7" s="259"/>
      <c r="J7" s="37"/>
      <c r="K7" s="39"/>
      <c r="L7" s="39"/>
      <c r="M7" s="39"/>
      <c r="N7" s="39"/>
      <c r="O7" s="39"/>
      <c r="R7" s="128" t="s">
        <v>280</v>
      </c>
      <c r="S7" s="36">
        <v>68600</v>
      </c>
      <c r="T7" s="126" t="s">
        <v>281</v>
      </c>
      <c r="U7" s="124">
        <f>V7/T5</f>
        <v>6.6627816627816638E-2</v>
      </c>
      <c r="V7" s="270">
        <f>S7/W$3</f>
        <v>586.32478632478637</v>
      </c>
      <c r="W7" s="259"/>
      <c r="X7" s="259"/>
      <c r="Y7" s="37"/>
      <c r="Z7" s="39"/>
      <c r="AA7" s="39"/>
      <c r="AB7" s="39"/>
      <c r="AC7" s="39"/>
      <c r="AD7" s="39"/>
    </row>
    <row r="8" spans="1:56" ht="15" thickBot="1" x14ac:dyDescent="0.4">
      <c r="B8" s="588"/>
      <c r="C8" s="127" t="s">
        <v>81</v>
      </c>
      <c r="D8" s="37"/>
      <c r="E8" s="37"/>
      <c r="F8" s="37"/>
      <c r="G8" s="271">
        <f>G7+G5</f>
        <v>1543.3636363636365</v>
      </c>
      <c r="H8" s="259"/>
      <c r="I8" s="259"/>
      <c r="J8" s="37"/>
      <c r="K8" s="39"/>
      <c r="L8" s="39"/>
      <c r="M8" s="39"/>
      <c r="N8" s="39"/>
      <c r="O8" s="39"/>
      <c r="R8" s="127" t="s">
        <v>81</v>
      </c>
      <c r="S8" s="37"/>
      <c r="T8" s="37"/>
      <c r="U8" s="37"/>
      <c r="V8" s="271">
        <f>V7+V5</f>
        <v>1542.0047863247864</v>
      </c>
      <c r="W8" s="259"/>
      <c r="X8" s="259"/>
      <c r="Y8" s="37"/>
      <c r="Z8" s="39"/>
      <c r="AA8" s="39"/>
      <c r="AB8" s="39"/>
      <c r="AC8" s="39"/>
      <c r="AD8" s="39"/>
    </row>
    <row r="9" spans="1:56" x14ac:dyDescent="0.35">
      <c r="B9" s="588"/>
      <c r="C9" s="39"/>
      <c r="D9" s="39"/>
      <c r="E9" s="39"/>
      <c r="F9" s="39"/>
      <c r="G9" s="89"/>
      <c r="H9" s="184"/>
      <c r="I9" s="184"/>
      <c r="J9" s="37"/>
      <c r="K9" s="39"/>
      <c r="L9" s="39"/>
      <c r="M9" s="39"/>
      <c r="N9" s="39"/>
      <c r="O9" s="39"/>
      <c r="R9" s="39"/>
      <c r="S9" s="39"/>
      <c r="T9" s="39"/>
      <c r="U9" s="39"/>
      <c r="V9" s="89"/>
      <c r="W9" s="184"/>
      <c r="X9" s="184"/>
      <c r="Y9" s="37"/>
      <c r="Z9" s="39"/>
      <c r="AA9" s="39"/>
      <c r="AB9" s="39"/>
      <c r="AC9" s="39"/>
      <c r="AD9" s="39"/>
    </row>
    <row r="10" spans="1:56" ht="18.5" x14ac:dyDescent="0.45">
      <c r="B10" s="588"/>
      <c r="C10" s="573" t="s">
        <v>23</v>
      </c>
      <c r="D10" s="574"/>
      <c r="E10" s="574"/>
      <c r="F10" s="574"/>
      <c r="G10" s="581"/>
      <c r="H10" s="580"/>
      <c r="I10" s="580"/>
      <c r="J10" s="37"/>
      <c r="K10" s="569" t="s">
        <v>498</v>
      </c>
      <c r="L10" s="569"/>
      <c r="M10" s="569"/>
      <c r="N10" s="569"/>
      <c r="O10" s="569"/>
      <c r="R10" s="573" t="s">
        <v>23</v>
      </c>
      <c r="S10" s="574"/>
      <c r="T10" s="574"/>
      <c r="U10" s="574"/>
      <c r="V10" s="581"/>
      <c r="W10" s="580"/>
      <c r="X10" s="580"/>
      <c r="Y10" s="37"/>
      <c r="Z10" s="569" t="s">
        <v>498</v>
      </c>
      <c r="AA10" s="569"/>
      <c r="AB10" s="569"/>
      <c r="AC10" s="569"/>
      <c r="AD10" s="569"/>
    </row>
    <row r="11" spans="1:56" ht="15.5" x14ac:dyDescent="0.35">
      <c r="B11" s="588"/>
      <c r="C11" s="51" t="s">
        <v>35</v>
      </c>
      <c r="D11" s="19"/>
      <c r="E11" s="122" t="s">
        <v>497</v>
      </c>
      <c r="F11" s="34" t="s">
        <v>251</v>
      </c>
      <c r="G11" s="272" t="s">
        <v>251</v>
      </c>
      <c r="H11" s="19"/>
      <c r="I11" s="19"/>
      <c r="J11" s="37"/>
      <c r="K11" s="39"/>
      <c r="L11" s="39"/>
      <c r="M11" s="39"/>
      <c r="N11" s="54" t="s">
        <v>39</v>
      </c>
      <c r="O11" s="50" t="s">
        <v>43</v>
      </c>
      <c r="R11" s="51" t="s">
        <v>35</v>
      </c>
      <c r="S11" s="19"/>
      <c r="T11" s="122" t="s">
        <v>497</v>
      </c>
      <c r="U11" s="34" t="s">
        <v>251</v>
      </c>
      <c r="V11" s="272" t="s">
        <v>251</v>
      </c>
      <c r="W11" s="19"/>
      <c r="X11" s="19"/>
      <c r="Y11" s="37"/>
      <c r="Z11" s="39"/>
      <c r="AA11" s="39"/>
      <c r="AB11" s="39"/>
      <c r="AC11" s="54" t="s">
        <v>39</v>
      </c>
      <c r="AD11" s="50" t="s">
        <v>43</v>
      </c>
    </row>
    <row r="12" spans="1:56" x14ac:dyDescent="0.35">
      <c r="B12" s="588"/>
      <c r="C12" s="39"/>
      <c r="D12" s="50" t="s">
        <v>277</v>
      </c>
      <c r="E12" s="122" t="s">
        <v>238</v>
      </c>
      <c r="F12" s="299" t="s">
        <v>38</v>
      </c>
      <c r="G12" s="268" t="s">
        <v>469</v>
      </c>
      <c r="H12" s="34" t="s">
        <v>21</v>
      </c>
      <c r="I12" s="34" t="s">
        <v>350</v>
      </c>
      <c r="J12" s="37"/>
      <c r="K12" s="61" t="s">
        <v>35</v>
      </c>
      <c r="L12" s="39"/>
      <c r="M12" s="39"/>
      <c r="N12" s="261">
        <f>SUM(N13:N22)</f>
        <v>6.2423767455115415</v>
      </c>
      <c r="O12" s="63">
        <f>IF(N$38=0,0,N12/N$38)</f>
        <v>0.33436170297378925</v>
      </c>
      <c r="R12" s="39"/>
      <c r="S12" s="50" t="s">
        <v>277</v>
      </c>
      <c r="T12" s="122" t="s">
        <v>238</v>
      </c>
      <c r="U12" s="299" t="s">
        <v>38</v>
      </c>
      <c r="V12" s="268" t="s">
        <v>469</v>
      </c>
      <c r="W12" s="34" t="s">
        <v>21</v>
      </c>
      <c r="X12" s="34" t="s">
        <v>350</v>
      </c>
      <c r="Y12" s="37"/>
      <c r="Z12" s="61" t="s">
        <v>35</v>
      </c>
      <c r="AA12" s="39"/>
      <c r="AB12" s="39"/>
      <c r="AC12" s="261">
        <f>SUM(AC13:AC22)</f>
        <v>6.7280570124320116</v>
      </c>
      <c r="AD12" s="63">
        <f>IF(AC$38=0,0,AC12/AC$38)</f>
        <v>0.42056657133550973</v>
      </c>
    </row>
    <row r="13" spans="1:56" x14ac:dyDescent="0.35">
      <c r="B13" s="588"/>
      <c r="C13" s="265" t="s">
        <v>276</v>
      </c>
      <c r="D13" s="36">
        <v>4600</v>
      </c>
      <c r="E13" s="36">
        <f t="shared" ref="E13:E21" si="0">D13/H$3</f>
        <v>34.848484848484851</v>
      </c>
      <c r="F13" s="22">
        <v>1</v>
      </c>
      <c r="G13" s="269">
        <f t="shared" ref="G13:G18" si="1">E13*F13</f>
        <v>34.848484848484851</v>
      </c>
      <c r="H13" s="124">
        <v>4</v>
      </c>
      <c r="I13" s="215">
        <f>IF(H13=0,0,G13/H13)</f>
        <v>8.7121212121212128</v>
      </c>
      <c r="J13" s="37"/>
      <c r="K13" s="39"/>
      <c r="L13" s="267" t="str">
        <f>C13</f>
        <v>Kylvösiemenkustannus</v>
      </c>
      <c r="M13" s="39"/>
      <c r="N13" s="47">
        <f t="shared" ref="N13:N22" si="2">G13/E$5*100</f>
        <v>0.43697159684620507</v>
      </c>
      <c r="O13" s="69">
        <f t="shared" ref="O13:O36" si="3">IF(N$38=0,0,N13/N$38)</f>
        <v>2.3405599057719204E-2</v>
      </c>
      <c r="R13" s="265" t="s">
        <v>276</v>
      </c>
      <c r="S13" s="36">
        <v>4900</v>
      </c>
      <c r="T13" s="36">
        <f t="shared" ref="T13:T21" si="4">S13/W$3</f>
        <v>41.880341880341881</v>
      </c>
      <c r="U13" s="22">
        <v>1</v>
      </c>
      <c r="V13" s="269">
        <f t="shared" ref="V13:V22" si="5">T13*U13</f>
        <v>41.880341880341881</v>
      </c>
      <c r="W13" s="124">
        <v>3.1</v>
      </c>
      <c r="X13" s="215">
        <f>IF(W13=0,0,V13/W13)</f>
        <v>13.509787703336091</v>
      </c>
      <c r="Y13" s="37"/>
      <c r="Z13" s="39"/>
      <c r="AA13" s="267" t="str">
        <f>R13</f>
        <v>Kylvösiemenkustannus</v>
      </c>
      <c r="AB13" s="39"/>
      <c r="AC13" s="47">
        <f t="shared" ref="AC13:AC22" si="6">V13/T$5*100</f>
        <v>0.47591297591297588</v>
      </c>
      <c r="AD13" s="69">
        <f t="shared" ref="AD13:AD36" si="7">IF(AC$38=0,0,AC13/AC$38)</f>
        <v>2.9749017905757808E-2</v>
      </c>
    </row>
    <row r="14" spans="1:56" x14ac:dyDescent="0.35">
      <c r="B14" s="588"/>
      <c r="C14" s="265" t="s">
        <v>275</v>
      </c>
      <c r="D14" s="36">
        <v>17700</v>
      </c>
      <c r="E14" s="36">
        <f t="shared" si="0"/>
        <v>134.09090909090909</v>
      </c>
      <c r="F14" s="22">
        <v>1</v>
      </c>
      <c r="G14" s="269">
        <f t="shared" si="1"/>
        <v>134.09090909090909</v>
      </c>
      <c r="H14" s="124">
        <v>0.38</v>
      </c>
      <c r="I14" s="36">
        <f>IF(H14=0,0,G14/H14)</f>
        <v>352.87081339712921</v>
      </c>
      <c r="J14" s="37"/>
      <c r="K14" s="39"/>
      <c r="L14" s="267" t="str">
        <f t="shared" ref="L14:L21" si="8">C14</f>
        <v>Lannoituskustannus</v>
      </c>
      <c r="M14" s="39"/>
      <c r="N14" s="47">
        <f t="shared" si="2"/>
        <v>1.6813907096038756</v>
      </c>
      <c r="O14" s="69">
        <f t="shared" si="3"/>
        <v>9.0060674635136909E-2</v>
      </c>
      <c r="R14" s="265" t="s">
        <v>275</v>
      </c>
      <c r="S14" s="36">
        <v>30000</v>
      </c>
      <c r="T14" s="36">
        <f t="shared" si="4"/>
        <v>256.41025641025641</v>
      </c>
      <c r="U14" s="22">
        <v>1</v>
      </c>
      <c r="V14" s="269">
        <f t="shared" si="5"/>
        <v>256.41025641025641</v>
      </c>
      <c r="W14" s="124">
        <v>0.35</v>
      </c>
      <c r="X14" s="36">
        <f>IF(W14=0,0,V14/W14)</f>
        <v>732.60073260073261</v>
      </c>
      <c r="Y14" s="37"/>
      <c r="Z14" s="39"/>
      <c r="AA14" s="267" t="str">
        <f t="shared" ref="AA14:AA21" si="9">R14</f>
        <v>Lannoituskustannus</v>
      </c>
      <c r="AB14" s="39"/>
      <c r="AC14" s="47">
        <f t="shared" si="6"/>
        <v>2.9137529137529135</v>
      </c>
      <c r="AD14" s="69">
        <f t="shared" si="7"/>
        <v>0.18213684432096616</v>
      </c>
    </row>
    <row r="15" spans="1:56" x14ac:dyDescent="0.35">
      <c r="B15" s="588"/>
      <c r="C15" s="265" t="s">
        <v>274</v>
      </c>
      <c r="D15" s="36"/>
      <c r="E15" s="36">
        <f t="shared" si="0"/>
        <v>0</v>
      </c>
      <c r="F15" s="22">
        <f t="shared" ref="F15:F21" si="10">F$14</f>
        <v>1</v>
      </c>
      <c r="G15" s="269">
        <f t="shared" si="1"/>
        <v>0</v>
      </c>
      <c r="H15" s="19"/>
      <c r="I15" s="19"/>
      <c r="J15" s="37"/>
      <c r="K15" s="39"/>
      <c r="L15" s="267" t="str">
        <f t="shared" si="8"/>
        <v>Kasvinsuojelukustannus</v>
      </c>
      <c r="M15" s="39"/>
      <c r="N15" s="47">
        <f t="shared" si="2"/>
        <v>0</v>
      </c>
      <c r="O15" s="69">
        <f t="shared" si="3"/>
        <v>0</v>
      </c>
      <c r="R15" s="265" t="s">
        <v>274</v>
      </c>
      <c r="S15" s="36">
        <v>1100</v>
      </c>
      <c r="T15" s="36">
        <f t="shared" si="4"/>
        <v>9.4017094017094021</v>
      </c>
      <c r="U15" s="22">
        <f t="shared" ref="U15:U21" si="11">U$14</f>
        <v>1</v>
      </c>
      <c r="V15" s="269">
        <f t="shared" si="5"/>
        <v>9.4017094017094021</v>
      </c>
      <c r="W15" s="19"/>
      <c r="X15" s="19"/>
      <c r="Y15" s="37"/>
      <c r="Z15" s="39"/>
      <c r="AA15" s="267" t="str">
        <f t="shared" si="9"/>
        <v>Kasvinsuojelukustannus</v>
      </c>
      <c r="AB15" s="39"/>
      <c r="AC15" s="47">
        <f t="shared" si="6"/>
        <v>0.10683760683760685</v>
      </c>
      <c r="AD15" s="69">
        <f t="shared" si="7"/>
        <v>6.6783509584354278E-3</v>
      </c>
    </row>
    <row r="16" spans="1:56" x14ac:dyDescent="0.35">
      <c r="B16" s="588"/>
      <c r="C16" s="265" t="s">
        <v>273</v>
      </c>
      <c r="D16" s="36">
        <v>1900</v>
      </c>
      <c r="E16" s="36">
        <f t="shared" si="0"/>
        <v>14.393939393939394</v>
      </c>
      <c r="F16" s="22">
        <f t="shared" si="10"/>
        <v>1</v>
      </c>
      <c r="G16" s="269">
        <f t="shared" si="1"/>
        <v>14.393939393939394</v>
      </c>
      <c r="H16" s="19"/>
      <c r="I16" s="19"/>
      <c r="J16" s="37"/>
      <c r="K16" s="39"/>
      <c r="L16" s="267" t="str">
        <f t="shared" si="8"/>
        <v>Säilöntäainekustannus</v>
      </c>
      <c r="M16" s="39"/>
      <c r="N16" s="47">
        <f t="shared" si="2"/>
        <v>0.18048826826256295</v>
      </c>
      <c r="O16" s="69">
        <f t="shared" si="3"/>
        <v>9.6675300455796708E-3</v>
      </c>
      <c r="R16" s="265" t="s">
        <v>273</v>
      </c>
      <c r="S16" s="36">
        <v>11800</v>
      </c>
      <c r="T16" s="36">
        <f t="shared" si="4"/>
        <v>100.85470085470085</v>
      </c>
      <c r="U16" s="22">
        <f t="shared" si="11"/>
        <v>1</v>
      </c>
      <c r="V16" s="269">
        <f t="shared" si="5"/>
        <v>100.85470085470085</v>
      </c>
      <c r="W16" s="19"/>
      <c r="X16" s="19"/>
      <c r="Y16" s="37"/>
      <c r="Z16" s="39"/>
      <c r="AA16" s="267" t="str">
        <f t="shared" si="9"/>
        <v>Säilöntäainekustannus</v>
      </c>
      <c r="AB16" s="39"/>
      <c r="AC16" s="47">
        <f t="shared" si="6"/>
        <v>1.1460761460761459</v>
      </c>
      <c r="AD16" s="69">
        <f t="shared" si="7"/>
        <v>7.1640492099580025E-2</v>
      </c>
    </row>
    <row r="17" spans="1:56" s="195" customFormat="1" x14ac:dyDescent="0.35">
      <c r="A17" s="49"/>
      <c r="B17" s="588"/>
      <c r="C17" s="265" t="s">
        <v>272</v>
      </c>
      <c r="D17" s="36">
        <v>3300</v>
      </c>
      <c r="E17" s="36">
        <f t="shared" si="0"/>
        <v>25</v>
      </c>
      <c r="F17" s="22">
        <f t="shared" si="10"/>
        <v>1</v>
      </c>
      <c r="G17" s="269">
        <f t="shared" si="1"/>
        <v>25</v>
      </c>
      <c r="H17" s="34" t="s">
        <v>466</v>
      </c>
      <c r="I17" s="34" t="s">
        <v>467</v>
      </c>
      <c r="J17" s="37"/>
      <c r="K17" s="39"/>
      <c r="L17" s="267" t="str">
        <f t="shared" si="8"/>
        <v>Säilöntämuovikustannus</v>
      </c>
      <c r="M17" s="39"/>
      <c r="N17" s="47">
        <f t="shared" si="2"/>
        <v>0.31347962382445138</v>
      </c>
      <c r="O17" s="69">
        <f t="shared" si="3"/>
        <v>1.6790973237059425E-2</v>
      </c>
      <c r="P17" s="49"/>
      <c r="Q17" s="49"/>
      <c r="R17" s="265" t="s">
        <v>272</v>
      </c>
      <c r="S17" s="36">
        <v>2000</v>
      </c>
      <c r="T17" s="36">
        <f t="shared" si="4"/>
        <v>17.094017094017094</v>
      </c>
      <c r="U17" s="22">
        <f t="shared" si="11"/>
        <v>1</v>
      </c>
      <c r="V17" s="269">
        <f t="shared" si="5"/>
        <v>17.094017094017094</v>
      </c>
      <c r="W17" s="34" t="s">
        <v>466</v>
      </c>
      <c r="X17" s="34" t="s">
        <v>467</v>
      </c>
      <c r="Y17" s="37"/>
      <c r="Z17" s="39"/>
      <c r="AA17" s="267" t="str">
        <f t="shared" si="9"/>
        <v>Säilöntämuovikustannus</v>
      </c>
      <c r="AB17" s="39"/>
      <c r="AC17" s="47">
        <f t="shared" si="6"/>
        <v>0.19425019425019424</v>
      </c>
      <c r="AD17" s="69">
        <f t="shared" si="7"/>
        <v>1.2142456288064412E-2</v>
      </c>
      <c r="AE17" s="49"/>
      <c r="AF17" s="397"/>
      <c r="AG17" s="397"/>
      <c r="AH17" s="397"/>
      <c r="AI17" s="397"/>
      <c r="AJ17" s="397"/>
      <c r="AK17" s="397"/>
      <c r="AL17" s="397"/>
      <c r="AM17" s="397"/>
      <c r="AN17" s="397"/>
      <c r="AO17" s="397"/>
      <c r="AP17" s="397"/>
      <c r="AQ17" s="397"/>
      <c r="AR17" s="397"/>
      <c r="AS17" s="397"/>
      <c r="AT17" s="397"/>
      <c r="AU17" s="397"/>
      <c r="AV17" s="397"/>
      <c r="AW17" s="397"/>
      <c r="AX17" s="397"/>
      <c r="AY17" s="397"/>
      <c r="AZ17" s="397"/>
      <c r="BA17" s="397"/>
      <c r="BB17" s="397"/>
      <c r="BC17" s="397"/>
      <c r="BD17" s="397"/>
    </row>
    <row r="18" spans="1:56" s="195" customFormat="1" x14ac:dyDescent="0.35">
      <c r="A18" s="49"/>
      <c r="B18" s="588"/>
      <c r="C18" s="265" t="s">
        <v>473</v>
      </c>
      <c r="D18" s="36">
        <v>8400</v>
      </c>
      <c r="E18" s="36">
        <f t="shared" si="0"/>
        <v>63.636363636363633</v>
      </c>
      <c r="F18" s="22">
        <f t="shared" si="10"/>
        <v>1</v>
      </c>
      <c r="G18" s="269">
        <f t="shared" si="1"/>
        <v>63.636363636363633</v>
      </c>
      <c r="H18" s="124">
        <v>6.4</v>
      </c>
      <c r="I18" s="215">
        <f>IF(H18=0,0,G18/H18)</f>
        <v>9.9431818181818166</v>
      </c>
      <c r="J18" s="37"/>
      <c r="K18" s="39"/>
      <c r="L18" s="267" t="str">
        <f t="shared" si="8"/>
        <v>Traktorin poltto-ja voit.ainekust.</v>
      </c>
      <c r="M18" s="39"/>
      <c r="N18" s="47">
        <f t="shared" si="2"/>
        <v>0.79794813337133086</v>
      </c>
      <c r="O18" s="69">
        <f t="shared" si="3"/>
        <v>4.2740659148878535E-2</v>
      </c>
      <c r="P18" s="49"/>
      <c r="Q18" s="49"/>
      <c r="R18" s="265" t="s">
        <v>473</v>
      </c>
      <c r="S18" s="36">
        <v>5200</v>
      </c>
      <c r="T18" s="36">
        <f t="shared" si="4"/>
        <v>44.444444444444443</v>
      </c>
      <c r="U18" s="22">
        <f t="shared" si="11"/>
        <v>1</v>
      </c>
      <c r="V18" s="269">
        <f t="shared" si="5"/>
        <v>44.444444444444443</v>
      </c>
      <c r="W18" s="124">
        <v>8.6999999999999993</v>
      </c>
      <c r="X18" s="215">
        <f>IF(W18=0,0,V18/W18)</f>
        <v>5.1085568326947639</v>
      </c>
      <c r="Y18" s="37"/>
      <c r="Z18" s="39"/>
      <c r="AA18" s="267" t="str">
        <f t="shared" si="9"/>
        <v>Traktorin poltto-ja voit.ainekust.</v>
      </c>
      <c r="AB18" s="39"/>
      <c r="AC18" s="47">
        <f t="shared" si="6"/>
        <v>0.50505050505050497</v>
      </c>
      <c r="AD18" s="69">
        <f t="shared" si="7"/>
        <v>3.1570386348967465E-2</v>
      </c>
      <c r="AE18" s="49"/>
      <c r="AF18" s="397"/>
      <c r="AG18" s="397"/>
      <c r="AH18" s="397"/>
      <c r="AI18" s="397"/>
      <c r="AJ18" s="397"/>
      <c r="AK18" s="397"/>
      <c r="AL18" s="397"/>
      <c r="AM18" s="397"/>
      <c r="AN18" s="397"/>
      <c r="AO18" s="397"/>
      <c r="AP18" s="397"/>
      <c r="AQ18" s="397"/>
      <c r="AR18" s="397"/>
      <c r="AS18" s="397"/>
      <c r="AT18" s="397"/>
      <c r="AU18" s="397"/>
      <c r="AV18" s="397"/>
      <c r="AW18" s="397"/>
      <c r="AX18" s="397"/>
      <c r="AY18" s="397"/>
      <c r="AZ18" s="397"/>
      <c r="BA18" s="397"/>
      <c r="BB18" s="397"/>
      <c r="BC18" s="397"/>
      <c r="BD18" s="397"/>
    </row>
    <row r="19" spans="1:56" x14ac:dyDescent="0.35">
      <c r="B19" s="588"/>
      <c r="C19" s="265" t="s">
        <v>282</v>
      </c>
      <c r="D19" s="36">
        <v>26800</v>
      </c>
      <c r="E19" s="36">
        <f t="shared" si="0"/>
        <v>203.03030303030303</v>
      </c>
      <c r="F19" s="22">
        <f t="shared" si="10"/>
        <v>1</v>
      </c>
      <c r="G19" s="269">
        <f>E19*F19</f>
        <v>203.03030303030303</v>
      </c>
      <c r="H19" s="19"/>
      <c r="I19" s="19"/>
      <c r="J19" s="37"/>
      <c r="K19" s="39"/>
      <c r="L19" s="267" t="str">
        <f t="shared" si="8"/>
        <v>Korjuun urakointikust.</v>
      </c>
      <c r="M19" s="39"/>
      <c r="N19" s="47">
        <f t="shared" si="2"/>
        <v>2.5458345207561508</v>
      </c>
      <c r="O19" s="69">
        <f t="shared" si="3"/>
        <v>0.13636305537975532</v>
      </c>
      <c r="R19" s="265" t="s">
        <v>282</v>
      </c>
      <c r="S19" s="36"/>
      <c r="T19" s="36">
        <f t="shared" si="4"/>
        <v>0</v>
      </c>
      <c r="U19" s="22">
        <f t="shared" si="11"/>
        <v>1</v>
      </c>
      <c r="V19" s="269">
        <f t="shared" si="5"/>
        <v>0</v>
      </c>
      <c r="W19" s="19"/>
      <c r="X19" s="19"/>
      <c r="Y19" s="37"/>
      <c r="Z19" s="39"/>
      <c r="AA19" s="267" t="str">
        <f t="shared" si="9"/>
        <v>Korjuun urakointikust.</v>
      </c>
      <c r="AB19" s="39"/>
      <c r="AC19" s="47">
        <f t="shared" si="6"/>
        <v>0</v>
      </c>
      <c r="AD19" s="69">
        <f t="shared" si="7"/>
        <v>0</v>
      </c>
    </row>
    <row r="20" spans="1:56" x14ac:dyDescent="0.35">
      <c r="B20" s="588"/>
      <c r="C20" s="265" t="s">
        <v>283</v>
      </c>
      <c r="D20" s="36"/>
      <c r="E20" s="36">
        <f t="shared" si="0"/>
        <v>0</v>
      </c>
      <c r="F20" s="22">
        <f t="shared" si="10"/>
        <v>1</v>
      </c>
      <c r="G20" s="269">
        <f>E20*F20</f>
        <v>0</v>
      </c>
      <c r="H20" s="19"/>
      <c r="I20" s="19"/>
      <c r="J20" s="37"/>
      <c r="K20" s="39"/>
      <c r="L20" s="267" t="str">
        <f t="shared" si="8"/>
        <v>Muut  urakointikust.</v>
      </c>
      <c r="M20" s="39"/>
      <c r="N20" s="47">
        <f t="shared" si="2"/>
        <v>0</v>
      </c>
      <c r="O20" s="69">
        <f t="shared" si="3"/>
        <v>0</v>
      </c>
      <c r="R20" s="265" t="s">
        <v>283</v>
      </c>
      <c r="S20" s="36">
        <v>12300</v>
      </c>
      <c r="T20" s="36">
        <f t="shared" si="4"/>
        <v>105.12820512820512</v>
      </c>
      <c r="U20" s="22">
        <f t="shared" si="11"/>
        <v>1</v>
      </c>
      <c r="V20" s="269">
        <f t="shared" si="5"/>
        <v>105.12820512820512</v>
      </c>
      <c r="W20" s="19"/>
      <c r="X20" s="19"/>
      <c r="Y20" s="37"/>
      <c r="Z20" s="39"/>
      <c r="AA20" s="267" t="str">
        <f t="shared" si="9"/>
        <v>Muut  urakointikust.</v>
      </c>
      <c r="AB20" s="39"/>
      <c r="AC20" s="47">
        <f t="shared" si="6"/>
        <v>1.1946386946386947</v>
      </c>
      <c r="AD20" s="69">
        <f t="shared" si="7"/>
        <v>7.4676106171596132E-2</v>
      </c>
    </row>
    <row r="21" spans="1:56" x14ac:dyDescent="0.35">
      <c r="B21" s="588"/>
      <c r="C21" s="265" t="s">
        <v>50</v>
      </c>
      <c r="D21" s="36">
        <v>300</v>
      </c>
      <c r="E21" s="36">
        <f t="shared" si="0"/>
        <v>2.2727272727272729</v>
      </c>
      <c r="F21" s="22">
        <f t="shared" si="10"/>
        <v>1</v>
      </c>
      <c r="G21" s="269">
        <f>E21*F21</f>
        <v>2.2727272727272729</v>
      </c>
      <c r="H21" s="19"/>
      <c r="I21" s="19"/>
      <c r="J21" s="37"/>
      <c r="K21" s="39"/>
      <c r="L21" s="267" t="str">
        <f t="shared" si="8"/>
        <v>Muut muuttuvat kustannukset</v>
      </c>
      <c r="M21" s="39"/>
      <c r="N21" s="47">
        <f t="shared" si="2"/>
        <v>2.8498147620404674E-2</v>
      </c>
      <c r="O21" s="69">
        <f t="shared" si="3"/>
        <v>1.5264521124599478E-3</v>
      </c>
      <c r="R21" s="265" t="s">
        <v>50</v>
      </c>
      <c r="S21" s="36"/>
      <c r="T21" s="36">
        <f t="shared" si="4"/>
        <v>0</v>
      </c>
      <c r="U21" s="22">
        <f t="shared" si="11"/>
        <v>1</v>
      </c>
      <c r="V21" s="269">
        <f t="shared" si="5"/>
        <v>0</v>
      </c>
      <c r="W21" s="19"/>
      <c r="X21" s="19"/>
      <c r="Y21" s="37"/>
      <c r="Z21" s="39"/>
      <c r="AA21" s="267" t="str">
        <f t="shared" si="9"/>
        <v>Muut muuttuvat kustannukset</v>
      </c>
      <c r="AB21" s="39"/>
      <c r="AC21" s="47">
        <f t="shared" si="6"/>
        <v>0</v>
      </c>
      <c r="AD21" s="69">
        <f t="shared" si="7"/>
        <v>0</v>
      </c>
    </row>
    <row r="22" spans="1:56" x14ac:dyDescent="0.35">
      <c r="B22" s="588"/>
      <c r="C22" s="72" t="s">
        <v>53</v>
      </c>
      <c r="D22" s="36">
        <f>SUM(G13:G21,G26:G27)*I22</f>
        <v>411.13636363636363</v>
      </c>
      <c r="E22" s="36">
        <f>D22*I34</f>
        <v>20.556818181818183</v>
      </c>
      <c r="F22" s="22">
        <v>1</v>
      </c>
      <c r="G22" s="269">
        <f>E22*F22</f>
        <v>20.556818181818183</v>
      </c>
      <c r="H22" s="19"/>
      <c r="I22" s="22">
        <v>0.5</v>
      </c>
      <c r="J22" s="37"/>
      <c r="K22" s="39"/>
      <c r="L22" s="267" t="str">
        <f>C22</f>
        <v>Liikepääoman korko</v>
      </c>
      <c r="N22" s="47">
        <f t="shared" si="2"/>
        <v>0.25776574522656032</v>
      </c>
      <c r="O22" s="69">
        <f t="shared" si="3"/>
        <v>1.380675935720023E-2</v>
      </c>
      <c r="R22" s="72" t="s">
        <v>53</v>
      </c>
      <c r="S22" s="36">
        <f>SUM(V13:V21,V26:V27)*X22</f>
        <v>337.10683760683759</v>
      </c>
      <c r="T22" s="36">
        <f>S22*X34</f>
        <v>16.855341880341879</v>
      </c>
      <c r="U22" s="22">
        <v>1</v>
      </c>
      <c r="V22" s="269">
        <f t="shared" si="5"/>
        <v>16.855341880341879</v>
      </c>
      <c r="W22" s="19"/>
      <c r="X22" s="22">
        <v>0.5</v>
      </c>
      <c r="Y22" s="37"/>
      <c r="Z22" s="39"/>
      <c r="AA22" s="267" t="str">
        <f>R22</f>
        <v>Liikepääoman korko</v>
      </c>
      <c r="AC22" s="47">
        <f t="shared" si="6"/>
        <v>0.19153797591297589</v>
      </c>
      <c r="AD22" s="69">
        <f t="shared" si="7"/>
        <v>1.1972917242142311E-2</v>
      </c>
    </row>
    <row r="23" spans="1:56" x14ac:dyDescent="0.35">
      <c r="B23" s="588"/>
      <c r="C23" s="19"/>
      <c r="D23" s="19"/>
      <c r="E23" s="19"/>
      <c r="F23" s="19"/>
      <c r="G23" s="273"/>
      <c r="H23" s="19"/>
      <c r="I23" s="19"/>
      <c r="J23" s="37"/>
      <c r="K23" s="39"/>
      <c r="L23" s="39"/>
      <c r="M23" s="39"/>
      <c r="N23" s="34"/>
      <c r="O23" s="39"/>
      <c r="R23" s="19"/>
      <c r="S23" s="19"/>
      <c r="T23" s="19"/>
      <c r="U23" s="19"/>
      <c r="V23" s="273"/>
      <c r="W23" s="19"/>
      <c r="X23" s="19"/>
      <c r="Y23" s="37"/>
      <c r="Z23" s="39"/>
      <c r="AA23" s="39"/>
      <c r="AB23" s="39"/>
      <c r="AC23" s="34"/>
      <c r="AD23" s="39"/>
    </row>
    <row r="24" spans="1:56" x14ac:dyDescent="0.35">
      <c r="B24" s="588"/>
      <c r="C24" s="19"/>
      <c r="D24" s="19" t="s">
        <v>471</v>
      </c>
      <c r="E24" s="122" t="s">
        <v>497</v>
      </c>
      <c r="F24" s="34" t="s">
        <v>251</v>
      </c>
      <c r="G24" s="272" t="s">
        <v>251</v>
      </c>
      <c r="H24" s="19"/>
      <c r="I24" s="19"/>
      <c r="J24" s="37"/>
      <c r="K24" s="39"/>
      <c r="L24" s="39"/>
      <c r="M24" s="39"/>
      <c r="N24" s="54" t="s">
        <v>39</v>
      </c>
      <c r="O24" s="50"/>
      <c r="R24" s="19"/>
      <c r="S24" s="19" t="s">
        <v>471</v>
      </c>
      <c r="T24" s="122" t="s">
        <v>497</v>
      </c>
      <c r="U24" s="34" t="s">
        <v>251</v>
      </c>
      <c r="V24" s="272" t="s">
        <v>251</v>
      </c>
      <c r="W24" s="19"/>
      <c r="X24" s="19"/>
      <c r="Y24" s="37"/>
      <c r="Z24" s="39"/>
      <c r="AA24" s="39"/>
      <c r="AB24" s="39"/>
      <c r="AC24" s="54" t="s">
        <v>39</v>
      </c>
      <c r="AD24" s="50"/>
    </row>
    <row r="25" spans="1:56" ht="15.5" x14ac:dyDescent="0.35">
      <c r="B25" s="588"/>
      <c r="C25" s="51" t="s">
        <v>54</v>
      </c>
      <c r="D25" s="262" t="s">
        <v>472</v>
      </c>
      <c r="E25" s="263" t="s">
        <v>238</v>
      </c>
      <c r="F25" s="264" t="s">
        <v>38</v>
      </c>
      <c r="G25" s="274" t="s">
        <v>469</v>
      </c>
      <c r="H25" s="34" t="s">
        <v>466</v>
      </c>
      <c r="I25" s="34" t="s">
        <v>467</v>
      </c>
      <c r="J25" s="37"/>
      <c r="K25" s="61" t="s">
        <v>54</v>
      </c>
      <c r="L25" s="39"/>
      <c r="M25" s="39"/>
      <c r="N25" s="261">
        <f>SUM(N26:N27)</f>
        <v>4.3260188087774294</v>
      </c>
      <c r="O25" s="63">
        <f t="shared" si="3"/>
        <v>0.23171543067142006</v>
      </c>
      <c r="R25" s="51" t="s">
        <v>54</v>
      </c>
      <c r="S25" s="262" t="s">
        <v>472</v>
      </c>
      <c r="T25" s="263" t="s">
        <v>238</v>
      </c>
      <c r="U25" s="264" t="s">
        <v>38</v>
      </c>
      <c r="V25" s="274" t="s">
        <v>469</v>
      </c>
      <c r="W25" s="34" t="s">
        <v>466</v>
      </c>
      <c r="X25" s="34" t="s">
        <v>467</v>
      </c>
      <c r="Y25" s="37"/>
      <c r="Z25" s="61" t="s">
        <v>54</v>
      </c>
      <c r="AA25" s="39"/>
      <c r="AB25" s="39"/>
      <c r="AC25" s="261">
        <f>SUM(AC26:AC27)</f>
        <v>1.125</v>
      </c>
      <c r="AD25" s="63">
        <f t="shared" si="7"/>
        <v>7.0323035592325042E-2</v>
      </c>
    </row>
    <row r="26" spans="1:56" x14ac:dyDescent="0.35">
      <c r="B26" s="588"/>
      <c r="C26" s="17" t="s">
        <v>56</v>
      </c>
      <c r="D26" s="215">
        <v>15</v>
      </c>
      <c r="E26" s="36">
        <f>D26*H26</f>
        <v>255</v>
      </c>
      <c r="F26" s="22">
        <f>F$14</f>
        <v>1</v>
      </c>
      <c r="G26" s="269">
        <f>E26*F26</f>
        <v>255</v>
      </c>
      <c r="H26" s="124">
        <f>'Säilörehun tuotantokustannus'!$P$26</f>
        <v>17</v>
      </c>
      <c r="I26" s="215">
        <f>IF(H26=0,0,G26/H26)</f>
        <v>15</v>
      </c>
      <c r="J26" s="37"/>
      <c r="K26" s="39"/>
      <c r="L26" s="39" t="s">
        <v>243</v>
      </c>
      <c r="M26" s="39"/>
      <c r="N26" s="47">
        <f>G26/E$5*100</f>
        <v>3.1974921630094042</v>
      </c>
      <c r="O26" s="69">
        <f t="shared" si="3"/>
        <v>0.17126792701800614</v>
      </c>
      <c r="R26" s="17" t="s">
        <v>56</v>
      </c>
      <c r="S26" s="215">
        <v>4.5</v>
      </c>
      <c r="T26" s="36">
        <f>S26*W26</f>
        <v>76.5</v>
      </c>
      <c r="U26" s="22">
        <f>U$14</f>
        <v>1</v>
      </c>
      <c r="V26" s="269">
        <f>T26*U26</f>
        <v>76.5</v>
      </c>
      <c r="W26" s="124">
        <f>'Säilörehun tuotantokustannus'!$P$26</f>
        <v>17</v>
      </c>
      <c r="X26" s="215">
        <f>IF(W26=0,0,V26/W26)</f>
        <v>4.5</v>
      </c>
      <c r="Y26" s="37"/>
      <c r="Z26" s="39"/>
      <c r="AA26" s="39" t="s">
        <v>243</v>
      </c>
      <c r="AB26" s="39"/>
      <c r="AC26" s="47">
        <f>V26/T$5*100</f>
        <v>0.86931818181818188</v>
      </c>
      <c r="AD26" s="69">
        <f t="shared" si="7"/>
        <v>5.4340527503160263E-2</v>
      </c>
    </row>
    <row r="27" spans="1:56" x14ac:dyDescent="0.35">
      <c r="B27" s="588"/>
      <c r="C27" s="17" t="s">
        <v>61</v>
      </c>
      <c r="D27" s="215">
        <v>6</v>
      </c>
      <c r="E27" s="36">
        <f>D27*H27</f>
        <v>90</v>
      </c>
      <c r="F27" s="22">
        <f>F$14</f>
        <v>1</v>
      </c>
      <c r="G27" s="269">
        <f>E27*F27</f>
        <v>90</v>
      </c>
      <c r="H27" s="124">
        <f>'Säilörehun tuotantokustannus'!$P$27</f>
        <v>15</v>
      </c>
      <c r="I27" s="215">
        <f>IF(H27=0,0,G27/H27)</f>
        <v>6</v>
      </c>
      <c r="J27" s="37"/>
      <c r="K27" s="39"/>
      <c r="L27" s="39" t="s">
        <v>62</v>
      </c>
      <c r="M27" s="39"/>
      <c r="N27" s="47">
        <f>G27/E$5*100</f>
        <v>1.128526645768025</v>
      </c>
      <c r="O27" s="69">
        <f t="shared" si="3"/>
        <v>6.0447503653413927E-2</v>
      </c>
      <c r="R27" s="17" t="s">
        <v>61</v>
      </c>
      <c r="S27" s="215">
        <v>1.5</v>
      </c>
      <c r="T27" s="36">
        <f>S27*W27</f>
        <v>22.5</v>
      </c>
      <c r="U27" s="22">
        <f>U$14</f>
        <v>1</v>
      </c>
      <c r="V27" s="269">
        <f>T27*U27</f>
        <v>22.5</v>
      </c>
      <c r="W27" s="124">
        <f>'Säilörehun tuotantokustannus'!$P$27</f>
        <v>15</v>
      </c>
      <c r="X27" s="215">
        <f>IF(W27=0,0,V27/W27)</f>
        <v>1.5</v>
      </c>
      <c r="Y27" s="37"/>
      <c r="Z27" s="39"/>
      <c r="AA27" s="39" t="s">
        <v>62</v>
      </c>
      <c r="AB27" s="39"/>
      <c r="AC27" s="47">
        <f>V27/T$5*100</f>
        <v>0.25568181818181818</v>
      </c>
      <c r="AD27" s="69">
        <f t="shared" si="7"/>
        <v>1.5982508089164783E-2</v>
      </c>
    </row>
    <row r="28" spans="1:56" x14ac:dyDescent="0.35">
      <c r="B28" s="588"/>
      <c r="C28" s="97"/>
      <c r="D28" s="19"/>
      <c r="E28" s="19"/>
      <c r="F28" s="19"/>
      <c r="G28" s="273"/>
      <c r="H28" s="19"/>
      <c r="I28" s="19"/>
      <c r="J28" s="37"/>
      <c r="K28" s="39"/>
      <c r="L28" s="39"/>
      <c r="M28" s="39"/>
      <c r="N28" s="34"/>
      <c r="O28" s="39"/>
      <c r="R28" s="97"/>
      <c r="S28" s="19"/>
      <c r="T28" s="19"/>
      <c r="U28" s="19"/>
      <c r="V28" s="273"/>
      <c r="W28" s="19"/>
      <c r="X28" s="19"/>
      <c r="Y28" s="37"/>
      <c r="Z28" s="39"/>
      <c r="AA28" s="39"/>
      <c r="AB28" s="39"/>
      <c r="AC28" s="34"/>
      <c r="AD28" s="39"/>
    </row>
    <row r="29" spans="1:56" ht="16" thickBot="1" x14ac:dyDescent="0.4">
      <c r="B29" s="588"/>
      <c r="C29" s="51" t="s">
        <v>63</v>
      </c>
      <c r="D29" s="19"/>
      <c r="E29" s="122" t="s">
        <v>497</v>
      </c>
      <c r="F29" s="34" t="s">
        <v>251</v>
      </c>
      <c r="G29" s="272" t="s">
        <v>251</v>
      </c>
      <c r="H29" s="19"/>
      <c r="I29" s="19"/>
      <c r="J29" s="37"/>
      <c r="K29" s="39"/>
      <c r="L29" s="39"/>
      <c r="M29" s="39"/>
      <c r="N29" s="54" t="s">
        <v>39</v>
      </c>
      <c r="O29" s="50"/>
      <c r="R29" s="51" t="s">
        <v>63</v>
      </c>
      <c r="S29" s="19"/>
      <c r="T29" s="122" t="s">
        <v>497</v>
      </c>
      <c r="U29" s="34" t="s">
        <v>251</v>
      </c>
      <c r="V29" s="272" t="s">
        <v>251</v>
      </c>
      <c r="W29" s="19"/>
      <c r="X29" s="19"/>
      <c r="Y29" s="37"/>
      <c r="Z29" s="39"/>
      <c r="AA29" s="39"/>
      <c r="AB29" s="39"/>
      <c r="AC29" s="54" t="s">
        <v>39</v>
      </c>
      <c r="AD29" s="50"/>
    </row>
    <row r="30" spans="1:56" ht="15" thickTop="1" x14ac:dyDescent="0.35">
      <c r="B30" s="588"/>
      <c r="C30" s="277" t="s">
        <v>64</v>
      </c>
      <c r="D30" s="280" t="s">
        <v>65</v>
      </c>
      <c r="E30" s="263" t="s">
        <v>238</v>
      </c>
      <c r="F30" s="264" t="s">
        <v>38</v>
      </c>
      <c r="G30" s="274" t="s">
        <v>469</v>
      </c>
      <c r="H30" s="34" t="s">
        <v>20</v>
      </c>
      <c r="I30" s="34" t="s">
        <v>470</v>
      </c>
      <c r="J30" s="37"/>
      <c r="K30" s="61" t="s">
        <v>63</v>
      </c>
      <c r="L30" s="39"/>
      <c r="M30" s="39"/>
      <c r="N30" s="261">
        <f>SUM(N31:N36)</f>
        <v>8.1011371403715895</v>
      </c>
      <c r="O30" s="63">
        <f t="shared" si="3"/>
        <v>0.43392286635479066</v>
      </c>
      <c r="R30" s="277" t="s">
        <v>64</v>
      </c>
      <c r="S30" s="280" t="s">
        <v>65</v>
      </c>
      <c r="T30" s="263" t="s">
        <v>238</v>
      </c>
      <c r="U30" s="264" t="s">
        <v>38</v>
      </c>
      <c r="V30" s="274" t="s">
        <v>469</v>
      </c>
      <c r="W30" s="34" t="s">
        <v>20</v>
      </c>
      <c r="X30" s="34" t="s">
        <v>470</v>
      </c>
      <c r="Y30" s="37"/>
      <c r="Z30" s="61" t="s">
        <v>63</v>
      </c>
      <c r="AA30" s="39"/>
      <c r="AB30" s="39"/>
      <c r="AC30" s="261">
        <f>SUM(AC31:AC36)</f>
        <v>8.1445459141797176</v>
      </c>
      <c r="AD30" s="63">
        <f t="shared" si="7"/>
        <v>0.50911039307216521</v>
      </c>
    </row>
    <row r="31" spans="1:56" s="195" customFormat="1" x14ac:dyDescent="0.35">
      <c r="A31" s="49"/>
      <c r="B31" s="588"/>
      <c r="C31" s="278" t="s">
        <v>474</v>
      </c>
      <c r="D31" s="317">
        <v>406000</v>
      </c>
      <c r="E31" s="16">
        <f>D31/15/G$3</f>
        <v>203.50877192982458</v>
      </c>
      <c r="F31" s="22">
        <f t="shared" ref="F31:F36" si="12">F$14</f>
        <v>1</v>
      </c>
      <c r="G31" s="269">
        <f t="shared" ref="G31:G36" si="13">E31*F31</f>
        <v>203.50877192982458</v>
      </c>
      <c r="H31" s="16">
        <f>D31/15</f>
        <v>27066.666666666668</v>
      </c>
      <c r="I31" s="320">
        <v>0.03</v>
      </c>
      <c r="J31" s="37"/>
      <c r="K31" s="39"/>
      <c r="L31" s="39" t="s">
        <v>67</v>
      </c>
      <c r="M31" s="39"/>
      <c r="N31" s="47">
        <f t="shared" ref="N31:N36" si="14">G31/E$5*100</f>
        <v>2.5518341307814993</v>
      </c>
      <c r="O31" s="69">
        <f t="shared" si="3"/>
        <v>0.1366844137192206</v>
      </c>
      <c r="P31" s="49"/>
      <c r="Q31" s="49"/>
      <c r="R31" s="278" t="s">
        <v>474</v>
      </c>
      <c r="S31" s="317">
        <v>642000</v>
      </c>
      <c r="T31" s="16">
        <f>S31/15/V$3</f>
        <v>200.93896713615024</v>
      </c>
      <c r="U31" s="22">
        <f t="shared" ref="U31:U36" si="15">U$14</f>
        <v>1</v>
      </c>
      <c r="V31" s="269">
        <f t="shared" ref="V31:V36" si="16">T31*U31</f>
        <v>200.93896713615024</v>
      </c>
      <c r="W31" s="16">
        <f>S31/15</f>
        <v>42800</v>
      </c>
      <c r="X31" s="320">
        <v>0.03</v>
      </c>
      <c r="Y31" s="37"/>
      <c r="Z31" s="39"/>
      <c r="AA31" s="39" t="s">
        <v>67</v>
      </c>
      <c r="AB31" s="39"/>
      <c r="AC31" s="47">
        <f t="shared" ref="AC31:AC36" si="17">V31/T$5*100</f>
        <v>2.2833973538198893</v>
      </c>
      <c r="AD31" s="69">
        <f t="shared" si="7"/>
        <v>0.1427337185636417</v>
      </c>
      <c r="AE31" s="49"/>
      <c r="AF31" s="397"/>
      <c r="AG31" s="397"/>
      <c r="AH31" s="397"/>
      <c r="AI31" s="397"/>
      <c r="AJ31" s="397"/>
      <c r="AK31" s="397"/>
      <c r="AL31" s="397"/>
      <c r="AM31" s="397"/>
      <c r="AN31" s="397"/>
      <c r="AO31" s="397"/>
      <c r="AP31" s="397"/>
      <c r="AQ31" s="397"/>
      <c r="AR31" s="397"/>
      <c r="AS31" s="397"/>
      <c r="AT31" s="397"/>
      <c r="AU31" s="397"/>
      <c r="AV31" s="397"/>
      <c r="AW31" s="397"/>
      <c r="AX31" s="397"/>
      <c r="AY31" s="397"/>
      <c r="AZ31" s="397"/>
      <c r="BA31" s="397"/>
      <c r="BB31" s="397"/>
      <c r="BC31" s="397"/>
      <c r="BD31" s="397"/>
    </row>
    <row r="32" spans="1:56" s="195" customFormat="1" ht="15" thickBot="1" x14ac:dyDescent="0.4">
      <c r="A32" s="49"/>
      <c r="B32" s="588"/>
      <c r="C32" s="279" t="s">
        <v>68</v>
      </c>
      <c r="D32" s="318">
        <v>50000</v>
      </c>
      <c r="E32" s="16">
        <f>D32/15/G$3</f>
        <v>25.062656641604011</v>
      </c>
      <c r="F32" s="22">
        <f t="shared" si="12"/>
        <v>1</v>
      </c>
      <c r="G32" s="269">
        <f t="shared" si="13"/>
        <v>25.062656641604011</v>
      </c>
      <c r="H32" s="16">
        <f>D32/15</f>
        <v>3333.3333333333335</v>
      </c>
      <c r="I32" s="320">
        <v>0.01</v>
      </c>
      <c r="J32" s="37"/>
      <c r="K32" s="39"/>
      <c r="L32" s="39" t="s">
        <v>69</v>
      </c>
      <c r="M32" s="39"/>
      <c r="N32" s="47">
        <f t="shared" si="14"/>
        <v>0.31426528704205658</v>
      </c>
      <c r="O32" s="69">
        <f t="shared" si="3"/>
        <v>1.6833055876751307E-2</v>
      </c>
      <c r="P32" s="49"/>
      <c r="Q32" s="49"/>
      <c r="R32" s="279" t="s">
        <v>68</v>
      </c>
      <c r="S32" s="318">
        <v>108000</v>
      </c>
      <c r="T32" s="16">
        <f>S32/15/V$3</f>
        <v>33.802816901408448</v>
      </c>
      <c r="U32" s="22">
        <f t="shared" si="15"/>
        <v>1</v>
      </c>
      <c r="V32" s="269">
        <f t="shared" si="16"/>
        <v>33.802816901408448</v>
      </c>
      <c r="W32" s="16">
        <f>S32/15</f>
        <v>7200</v>
      </c>
      <c r="X32" s="320">
        <v>0.01</v>
      </c>
      <c r="Y32" s="37"/>
      <c r="Z32" s="39"/>
      <c r="AA32" s="39" t="s">
        <v>69</v>
      </c>
      <c r="AB32" s="39"/>
      <c r="AC32" s="47">
        <f t="shared" si="17"/>
        <v>0.38412291933418691</v>
      </c>
      <c r="AD32" s="69">
        <f t="shared" si="7"/>
        <v>2.4011279758369624E-2</v>
      </c>
      <c r="AE32" s="49"/>
      <c r="AF32" s="397"/>
      <c r="AG32" s="397"/>
      <c r="AH32" s="397"/>
      <c r="AI32" s="397"/>
      <c r="AJ32" s="397"/>
      <c r="AK32" s="397"/>
      <c r="AL32" s="397"/>
      <c r="AM32" s="397"/>
      <c r="AN32" s="397"/>
      <c r="AO32" s="397"/>
      <c r="AP32" s="397"/>
      <c r="AQ32" s="397"/>
      <c r="AR32" s="397"/>
      <c r="AS32" s="397"/>
      <c r="AT32" s="397"/>
      <c r="AU32" s="397"/>
      <c r="AV32" s="397"/>
      <c r="AW32" s="397"/>
      <c r="AX32" s="397"/>
      <c r="AY32" s="397"/>
      <c r="AZ32" s="397"/>
      <c r="BA32" s="397"/>
      <c r="BB32" s="397"/>
      <c r="BC32" s="397"/>
      <c r="BD32" s="397"/>
    </row>
    <row r="33" spans="1:56" s="195" customFormat="1" ht="15" thickTop="1" x14ac:dyDescent="0.35">
      <c r="A33" s="49"/>
      <c r="B33" s="588"/>
      <c r="C33" s="276" t="s">
        <v>71</v>
      </c>
      <c r="D33" s="96">
        <v>15600</v>
      </c>
      <c r="E33" s="36">
        <f>D33/G$3</f>
        <v>117.29323308270676</v>
      </c>
      <c r="F33" s="22">
        <f t="shared" si="12"/>
        <v>1</v>
      </c>
      <c r="G33" s="269">
        <f t="shared" si="13"/>
        <v>117.29323308270676</v>
      </c>
      <c r="H33" s="44"/>
      <c r="I33" s="36">
        <f>(D32*I32+D31*I31)/H$3</f>
        <v>96.060606060606062</v>
      </c>
      <c r="J33" s="37"/>
      <c r="K33" s="39"/>
      <c r="L33" s="39" t="str">
        <f>C33</f>
        <v>Huolto ja kunnossapito</v>
      </c>
      <c r="M33" s="39"/>
      <c r="N33" s="47">
        <f t="shared" si="14"/>
        <v>1.4707615433568246</v>
      </c>
      <c r="O33" s="69">
        <f t="shared" si="3"/>
        <v>7.8778701503196102E-2</v>
      </c>
      <c r="P33" s="49"/>
      <c r="Q33" s="49"/>
      <c r="R33" s="276" t="s">
        <v>71</v>
      </c>
      <c r="S33" s="96">
        <v>20400</v>
      </c>
      <c r="T33" s="36">
        <f>S33/V$3</f>
        <v>95.774647887323937</v>
      </c>
      <c r="U33" s="22">
        <f t="shared" si="15"/>
        <v>1</v>
      </c>
      <c r="V33" s="269">
        <f t="shared" si="16"/>
        <v>95.774647887323937</v>
      </c>
      <c r="W33" s="44"/>
      <c r="X33" s="36">
        <f>(S32*X32+S31*X31)/W$3</f>
        <v>173.84615384615384</v>
      </c>
      <c r="Y33" s="37"/>
      <c r="Z33" s="39"/>
      <c r="AA33" s="39" t="str">
        <f>R33</f>
        <v>Huolto ja kunnossapito</v>
      </c>
      <c r="AB33" s="39"/>
      <c r="AC33" s="47">
        <f t="shared" si="17"/>
        <v>1.0883482714468631</v>
      </c>
      <c r="AD33" s="69">
        <f t="shared" si="7"/>
        <v>6.8031959315380613E-2</v>
      </c>
      <c r="AE33" s="49"/>
      <c r="AF33" s="397"/>
      <c r="AG33" s="397"/>
      <c r="AH33" s="397"/>
      <c r="AI33" s="397"/>
      <c r="AJ33" s="397"/>
      <c r="AK33" s="397"/>
      <c r="AL33" s="397"/>
      <c r="AM33" s="397"/>
      <c r="AN33" s="397"/>
      <c r="AO33" s="397"/>
      <c r="AP33" s="397"/>
      <c r="AQ33" s="397"/>
      <c r="AR33" s="397"/>
      <c r="AS33" s="397"/>
      <c r="AT33" s="397"/>
      <c r="AU33" s="397"/>
      <c r="AV33" s="397"/>
      <c r="AW33" s="397"/>
      <c r="AX33" s="397"/>
      <c r="AY33" s="397"/>
      <c r="AZ33" s="397"/>
      <c r="BA33" s="397"/>
      <c r="BB33" s="397"/>
      <c r="BC33" s="397"/>
      <c r="BD33" s="397"/>
    </row>
    <row r="34" spans="1:56" s="195" customFormat="1" x14ac:dyDescent="0.35">
      <c r="A34" s="49"/>
      <c r="B34" s="588"/>
      <c r="C34" s="14" t="s">
        <v>73</v>
      </c>
      <c r="D34" s="36">
        <f>(D31+D32+D36)/2*I34</f>
        <v>14400</v>
      </c>
      <c r="E34" s="16">
        <f>(D31/2+D32/2)*I34/G$3</f>
        <v>85.714285714285708</v>
      </c>
      <c r="F34" s="22">
        <f t="shared" si="12"/>
        <v>1</v>
      </c>
      <c r="G34" s="269">
        <f t="shared" si="13"/>
        <v>85.714285714285708</v>
      </c>
      <c r="H34" s="19"/>
      <c r="I34" s="22">
        <v>0.05</v>
      </c>
      <c r="J34" s="37"/>
      <c r="K34" s="39"/>
      <c r="L34" s="39" t="str">
        <f>C34</f>
        <v>Korko</v>
      </c>
      <c r="M34" s="39"/>
      <c r="N34" s="47">
        <f t="shared" si="14"/>
        <v>1.0747872816838333</v>
      </c>
      <c r="O34" s="69">
        <f t="shared" si="3"/>
        <v>5.7569051098489456E-2</v>
      </c>
      <c r="P34" s="49"/>
      <c r="Q34" s="49"/>
      <c r="R34" s="14" t="s">
        <v>73</v>
      </c>
      <c r="S34" s="36">
        <f>(S31+S32+S36)/2*X34</f>
        <v>30250</v>
      </c>
      <c r="T34" s="16">
        <f>(S31/2+S32/2)*X34/V$3</f>
        <v>88.028169014084511</v>
      </c>
      <c r="U34" s="22">
        <f t="shared" si="15"/>
        <v>1</v>
      </c>
      <c r="V34" s="269">
        <f t="shared" si="16"/>
        <v>88.028169014084511</v>
      </c>
      <c r="W34" s="19"/>
      <c r="X34" s="22">
        <v>0.05</v>
      </c>
      <c r="Y34" s="37"/>
      <c r="Z34" s="39"/>
      <c r="AA34" s="39" t="str">
        <f>R34</f>
        <v>Korko</v>
      </c>
      <c r="AB34" s="39"/>
      <c r="AC34" s="47">
        <f t="shared" si="17"/>
        <v>1.0003201024327786</v>
      </c>
      <c r="AD34" s="69">
        <f t="shared" si="7"/>
        <v>6.2529374370754245E-2</v>
      </c>
      <c r="AE34" s="49"/>
      <c r="AF34" s="397"/>
      <c r="AG34" s="397"/>
      <c r="AH34" s="397"/>
      <c r="AI34" s="397"/>
      <c r="AJ34" s="397"/>
      <c r="AK34" s="397"/>
      <c r="AL34" s="397"/>
      <c r="AM34" s="397"/>
      <c r="AN34" s="397"/>
      <c r="AO34" s="397"/>
      <c r="AP34" s="397"/>
      <c r="AQ34" s="397"/>
      <c r="AR34" s="397"/>
      <c r="AS34" s="397"/>
      <c r="AT34" s="397"/>
      <c r="AU34" s="397"/>
      <c r="AV34" s="397"/>
      <c r="AW34" s="397"/>
      <c r="AX34" s="397"/>
      <c r="AY34" s="397"/>
      <c r="AZ34" s="397"/>
      <c r="BA34" s="397"/>
      <c r="BB34" s="397"/>
      <c r="BC34" s="397"/>
      <c r="BD34" s="397"/>
    </row>
    <row r="35" spans="1:56" s="195" customFormat="1" ht="15" thickBot="1" x14ac:dyDescent="0.4">
      <c r="A35" s="49"/>
      <c r="B35" s="588"/>
      <c r="C35" s="289" t="s">
        <v>74</v>
      </c>
      <c r="D35" s="125">
        <f>E35*H$3</f>
        <v>20372.400000000005</v>
      </c>
      <c r="E35" s="36">
        <f>G8*I35</f>
        <v>154.33636363636367</v>
      </c>
      <c r="F35" s="22">
        <f t="shared" si="12"/>
        <v>1</v>
      </c>
      <c r="G35" s="269">
        <f t="shared" si="13"/>
        <v>154.33636363636367</v>
      </c>
      <c r="H35" s="19"/>
      <c r="I35" s="22">
        <v>0.1</v>
      </c>
      <c r="J35" s="37"/>
      <c r="K35" s="39"/>
      <c r="L35" s="39" t="str">
        <f>C35</f>
        <v>Yleiskustannus</v>
      </c>
      <c r="M35" s="39"/>
      <c r="N35" s="47">
        <f t="shared" si="14"/>
        <v>1.935252208606441</v>
      </c>
      <c r="O35" s="69">
        <f t="shared" si="3"/>
        <v>0.10365831005293015</v>
      </c>
      <c r="P35" s="49"/>
      <c r="Q35" s="49"/>
      <c r="R35" s="289" t="s">
        <v>74</v>
      </c>
      <c r="S35" s="125">
        <f>T35*W$3</f>
        <v>18041.456000000002</v>
      </c>
      <c r="T35" s="36">
        <f>V8*X35</f>
        <v>154.20047863247865</v>
      </c>
      <c r="U35" s="22">
        <f t="shared" si="15"/>
        <v>1</v>
      </c>
      <c r="V35" s="269">
        <f t="shared" si="16"/>
        <v>154.20047863247865</v>
      </c>
      <c r="W35" s="19"/>
      <c r="X35" s="22">
        <v>0.1</v>
      </c>
      <c r="Y35" s="37"/>
      <c r="Z35" s="39"/>
      <c r="AA35" s="39" t="str">
        <f>R35</f>
        <v>Yleiskustannus</v>
      </c>
      <c r="AB35" s="39"/>
      <c r="AC35" s="47">
        <f t="shared" si="17"/>
        <v>1.7522781662781663</v>
      </c>
      <c r="AD35" s="69">
        <f t="shared" si="7"/>
        <v>0.10953379542651871</v>
      </c>
      <c r="AE35" s="49"/>
      <c r="AF35" s="397"/>
      <c r="AG35" s="397"/>
      <c r="AH35" s="397"/>
      <c r="AI35" s="397"/>
      <c r="AJ35" s="397"/>
      <c r="AK35" s="397"/>
      <c r="AL35" s="397"/>
      <c r="AM35" s="397"/>
      <c r="AN35" s="397"/>
      <c r="AO35" s="397"/>
      <c r="AP35" s="397"/>
      <c r="AQ35" s="397"/>
      <c r="AR35" s="397"/>
      <c r="AS35" s="397"/>
      <c r="AT35" s="397"/>
      <c r="AU35" s="397"/>
      <c r="AV35" s="397"/>
      <c r="AW35" s="397"/>
      <c r="AX35" s="397"/>
      <c r="AY35" s="397"/>
      <c r="AZ35" s="397"/>
      <c r="BA35" s="397"/>
      <c r="BB35" s="397"/>
      <c r="BC35" s="397"/>
      <c r="BD35" s="397"/>
    </row>
    <row r="36" spans="1:56" ht="15.5" thickTop="1" thickBot="1" x14ac:dyDescent="0.4">
      <c r="B36" s="588"/>
      <c r="C36" s="290" t="s">
        <v>278</v>
      </c>
      <c r="D36" s="319">
        <v>120000</v>
      </c>
      <c r="E36" s="16">
        <f>D36/15/G$3</f>
        <v>60.150375939849624</v>
      </c>
      <c r="F36" s="22">
        <f t="shared" si="12"/>
        <v>1</v>
      </c>
      <c r="G36" s="269">
        <f t="shared" si="13"/>
        <v>60.150375939849624</v>
      </c>
      <c r="H36" s="19"/>
      <c r="I36" s="19"/>
      <c r="J36" s="37"/>
      <c r="K36" s="39"/>
      <c r="L36" s="39" t="str">
        <f>C36</f>
        <v>Pellon kustannukset</v>
      </c>
      <c r="M36" s="39"/>
      <c r="N36" s="47">
        <f t="shared" si="14"/>
        <v>0.75423668890093576</v>
      </c>
      <c r="O36" s="69">
        <f t="shared" si="3"/>
        <v>4.0399334104203134E-2</v>
      </c>
      <c r="R36" s="290" t="s">
        <v>278</v>
      </c>
      <c r="S36" s="319">
        <v>460000</v>
      </c>
      <c r="T36" s="16">
        <f>S36/15/V$3</f>
        <v>143.97496087636932</v>
      </c>
      <c r="U36" s="22">
        <f t="shared" si="15"/>
        <v>1</v>
      </c>
      <c r="V36" s="269">
        <f t="shared" si="16"/>
        <v>143.97496087636932</v>
      </c>
      <c r="W36" s="19"/>
      <c r="X36" s="19"/>
      <c r="Y36" s="37"/>
      <c r="Z36" s="39"/>
      <c r="AA36" s="39" t="str">
        <f>R36</f>
        <v>Pellon kustannukset</v>
      </c>
      <c r="AB36" s="39"/>
      <c r="AC36" s="47">
        <f t="shared" si="17"/>
        <v>1.6360791008678333</v>
      </c>
      <c r="AD36" s="69">
        <f t="shared" si="7"/>
        <v>0.10227026563750026</v>
      </c>
    </row>
    <row r="37" spans="1:56" ht="15.5" thickTop="1" thickBot="1" x14ac:dyDescent="0.4">
      <c r="B37" s="588"/>
      <c r="C37" s="97"/>
      <c r="D37" s="39"/>
      <c r="E37" s="39"/>
      <c r="F37" s="39"/>
      <c r="G37" s="89"/>
      <c r="H37" s="39"/>
      <c r="I37" s="39"/>
      <c r="J37" s="37"/>
      <c r="K37" s="39"/>
      <c r="L37" s="39"/>
      <c r="M37" s="39"/>
      <c r="N37" s="55"/>
      <c r="O37" s="39"/>
      <c r="R37" s="97"/>
      <c r="S37" s="39"/>
      <c r="T37" s="39"/>
      <c r="U37" s="39"/>
      <c r="V37" s="89"/>
      <c r="W37" s="39"/>
      <c r="X37" s="39"/>
      <c r="Y37" s="37"/>
      <c r="Z37" s="39"/>
      <c r="AA37" s="39"/>
      <c r="AB37" s="39"/>
      <c r="AC37" s="55"/>
      <c r="AD37" s="39"/>
    </row>
    <row r="38" spans="1:56" ht="15" thickBot="1" x14ac:dyDescent="0.4">
      <c r="B38" s="588"/>
      <c r="C38" s="39"/>
      <c r="D38" s="39"/>
      <c r="E38" s="39"/>
      <c r="F38" s="56" t="s">
        <v>83</v>
      </c>
      <c r="G38" s="275">
        <f>SUM(G13:G23,G26:G28,G31:G37)</f>
        <v>1488.8952323991803</v>
      </c>
      <c r="H38" s="39" t="s">
        <v>468</v>
      </c>
      <c r="I38" s="39"/>
      <c r="J38" s="37"/>
      <c r="K38" s="61" t="s">
        <v>500</v>
      </c>
      <c r="L38" s="77"/>
      <c r="N38" s="260">
        <f>SUM(N13:N23,N26:N28,N31:N37)</f>
        <v>18.66953269466056</v>
      </c>
      <c r="O38" s="39"/>
      <c r="R38" s="39"/>
      <c r="S38" s="39"/>
      <c r="T38" s="39"/>
      <c r="U38" s="56" t="s">
        <v>83</v>
      </c>
      <c r="V38" s="275">
        <f>SUM(V13:V23,V26:V28,V31:V37)</f>
        <v>1407.7890575418323</v>
      </c>
      <c r="W38" s="39" t="s">
        <v>468</v>
      </c>
      <c r="X38" s="39"/>
      <c r="Y38" s="37"/>
      <c r="Z38" s="61" t="s">
        <v>500</v>
      </c>
      <c r="AA38" s="77"/>
      <c r="AC38" s="260">
        <f>SUM(AC13:AC23,AC26:AC28,AC31:AC37)</f>
        <v>15.99760292661173</v>
      </c>
      <c r="AD38" s="39"/>
    </row>
    <row r="39" spans="1:56" x14ac:dyDescent="0.35">
      <c r="B39" s="588"/>
      <c r="C39" s="39"/>
      <c r="D39" s="39"/>
      <c r="E39" s="39"/>
      <c r="F39" s="56" t="s">
        <v>499</v>
      </c>
      <c r="G39" s="307">
        <f>G38-G7</f>
        <v>902.53159603554388</v>
      </c>
      <c r="H39" s="39" t="s">
        <v>468</v>
      </c>
      <c r="I39" s="39"/>
      <c r="J39" s="37"/>
      <c r="K39" s="61"/>
      <c r="L39" s="282" t="s">
        <v>501</v>
      </c>
      <c r="M39" s="39"/>
      <c r="N39" s="281">
        <f>N38-F$7*100</f>
        <v>11.317010608596155</v>
      </c>
      <c r="O39" s="39"/>
      <c r="R39" s="39"/>
      <c r="S39" s="39"/>
      <c r="T39" s="39"/>
      <c r="U39" s="56" t="s">
        <v>499</v>
      </c>
      <c r="V39" s="307">
        <f>V38-V7</f>
        <v>821.46427121704596</v>
      </c>
      <c r="W39" s="39" t="s">
        <v>468</v>
      </c>
      <c r="X39" s="39"/>
      <c r="Y39" s="37"/>
      <c r="Z39" s="61"/>
      <c r="AA39" s="282" t="s">
        <v>501</v>
      </c>
      <c r="AB39" s="39"/>
      <c r="AC39" s="281">
        <f>AC38-U$7*100</f>
        <v>9.3348212638300652</v>
      </c>
      <c r="AD39" s="39"/>
    </row>
    <row r="40" spans="1:56" s="396" customFormat="1" ht="27" customHeight="1" x14ac:dyDescent="0.35">
      <c r="A40" s="80"/>
      <c r="B40" s="80"/>
      <c r="C40" s="49"/>
      <c r="D40" s="49"/>
      <c r="E40" s="49"/>
      <c r="F40" s="49"/>
      <c r="G40" s="49"/>
      <c r="H40" s="49"/>
      <c r="I40" s="49"/>
      <c r="J40" s="80"/>
      <c r="K40" s="49"/>
      <c r="L40" s="49"/>
      <c r="M40" s="49"/>
      <c r="N40" s="49"/>
      <c r="O40" s="49"/>
      <c r="P40" s="49"/>
      <c r="Q40" s="80"/>
      <c r="R40" s="49"/>
      <c r="S40" s="49"/>
      <c r="T40" s="49"/>
      <c r="U40" s="49"/>
      <c r="V40" s="49"/>
      <c r="W40" s="49"/>
      <c r="X40" s="49"/>
      <c r="Y40" s="80"/>
      <c r="Z40" s="49"/>
      <c r="AA40" s="49"/>
      <c r="AB40" s="49"/>
      <c r="AC40" s="49"/>
      <c r="AD40" s="49"/>
      <c r="AE40" s="49"/>
    </row>
    <row r="41" spans="1:56" ht="27" customHeight="1" x14ac:dyDescent="0.35">
      <c r="A41" s="306"/>
      <c r="B41" s="595"/>
      <c r="C41" s="48"/>
      <c r="D41" s="48"/>
      <c r="E41" s="48"/>
      <c r="F41" s="596" t="s">
        <v>541</v>
      </c>
      <c r="G41" s="597" t="s">
        <v>41</v>
      </c>
      <c r="H41" s="595"/>
      <c r="I41" s="595"/>
      <c r="J41" s="595"/>
      <c r="K41" s="595"/>
      <c r="L41" s="595"/>
      <c r="M41" s="595"/>
      <c r="N41" s="595"/>
      <c r="O41" s="595"/>
      <c r="P41" s="306"/>
      <c r="Q41" s="306"/>
      <c r="R41" s="595"/>
      <c r="S41" s="595"/>
      <c r="T41" s="595"/>
      <c r="U41" s="596" t="str">
        <f>F41</f>
        <v>Maidontuotanto,</v>
      </c>
      <c r="V41" s="597" t="s">
        <v>42</v>
      </c>
      <c r="W41" s="48"/>
      <c r="X41" s="48"/>
      <c r="Y41" s="598"/>
      <c r="Z41" s="48"/>
      <c r="AA41" s="48"/>
      <c r="AB41" s="48"/>
      <c r="AC41" s="48"/>
      <c r="AD41" s="48"/>
    </row>
    <row r="42" spans="1:56" ht="18.5" x14ac:dyDescent="0.45">
      <c r="B42" s="48"/>
      <c r="C42" s="575" t="s">
        <v>475</v>
      </c>
      <c r="D42" s="576"/>
      <c r="E42" s="576"/>
      <c r="F42" s="576"/>
      <c r="G42" s="577" t="s">
        <v>530</v>
      </c>
      <c r="H42" s="578">
        <v>70</v>
      </c>
      <c r="I42" s="579" t="s">
        <v>79</v>
      </c>
      <c r="J42" s="37"/>
      <c r="K42" s="39"/>
      <c r="L42" s="39"/>
      <c r="M42" s="39"/>
      <c r="N42" s="39"/>
      <c r="O42" s="39"/>
      <c r="R42" s="575" t="s">
        <v>475</v>
      </c>
      <c r="S42" s="576"/>
      <c r="T42" s="576"/>
      <c r="U42" s="576"/>
      <c r="V42" s="577" t="s">
        <v>530</v>
      </c>
      <c r="W42" s="578">
        <v>70</v>
      </c>
      <c r="X42" s="579" t="s">
        <v>79</v>
      </c>
      <c r="Y42" s="37"/>
      <c r="Z42" s="39"/>
      <c r="AA42" s="39"/>
      <c r="AB42" s="39"/>
      <c r="AC42" s="39"/>
      <c r="AD42" s="39"/>
    </row>
    <row r="43" spans="1:56" ht="22" x14ac:dyDescent="0.35">
      <c r="B43" s="48"/>
      <c r="C43" s="51" t="s">
        <v>77</v>
      </c>
      <c r="D43" s="294" t="s">
        <v>281</v>
      </c>
      <c r="E43" s="54" t="s">
        <v>490</v>
      </c>
      <c r="F43" s="316" t="s">
        <v>491</v>
      </c>
      <c r="G43" s="268" t="s">
        <v>534</v>
      </c>
      <c r="H43" s="184" t="s">
        <v>532</v>
      </c>
      <c r="I43" s="184"/>
      <c r="J43" s="37"/>
      <c r="K43" s="39"/>
      <c r="L43" s="39"/>
      <c r="M43" s="39"/>
      <c r="N43" s="39"/>
      <c r="O43" s="39"/>
      <c r="R43" s="51" t="s">
        <v>77</v>
      </c>
      <c r="S43" s="294" t="s">
        <v>281</v>
      </c>
      <c r="T43" s="54" t="s">
        <v>490</v>
      </c>
      <c r="U43" s="316" t="s">
        <v>491</v>
      </c>
      <c r="V43" s="268" t="s">
        <v>534</v>
      </c>
      <c r="W43" s="184" t="s">
        <v>532</v>
      </c>
      <c r="X43" s="184"/>
      <c r="Y43" s="37"/>
      <c r="Z43" s="39"/>
      <c r="AA43" s="39"/>
      <c r="AB43" s="39"/>
      <c r="AC43" s="39"/>
      <c r="AD43" s="39"/>
    </row>
    <row r="44" spans="1:56" x14ac:dyDescent="0.35">
      <c r="B44" s="48"/>
      <c r="C44" s="300" t="s">
        <v>531</v>
      </c>
      <c r="D44" s="36">
        <v>220000</v>
      </c>
      <c r="E44" s="36">
        <v>600000</v>
      </c>
      <c r="F44" s="124">
        <f>D44/E44</f>
        <v>0.36666666666666664</v>
      </c>
      <c r="G44" s="269">
        <f>E44*F44/H42</f>
        <v>3142.8571428571427</v>
      </c>
      <c r="H44" s="184" t="s">
        <v>78</v>
      </c>
      <c r="I44" s="220">
        <f>G44</f>
        <v>3142.8571428571427</v>
      </c>
      <c r="J44" s="37"/>
      <c r="K44" s="39"/>
      <c r="L44" s="39"/>
      <c r="M44" s="39"/>
      <c r="N44" s="39"/>
      <c r="O44" s="39"/>
      <c r="R44" s="300" t="s">
        <v>531</v>
      </c>
      <c r="S44" s="36">
        <v>300000</v>
      </c>
      <c r="T44" s="36">
        <v>770000</v>
      </c>
      <c r="U44" s="124">
        <f>S44/T44</f>
        <v>0.38961038961038963</v>
      </c>
      <c r="V44" s="269">
        <f>T44*U44/W42</f>
        <v>4285.7142857142853</v>
      </c>
      <c r="W44" s="184" t="s">
        <v>78</v>
      </c>
      <c r="X44" s="220">
        <f>V44</f>
        <v>4285.7142857142853</v>
      </c>
      <c r="Y44" s="37"/>
      <c r="Z44" s="39"/>
      <c r="AA44" s="39"/>
      <c r="AB44" s="39"/>
      <c r="AC44" s="39"/>
      <c r="AD44" s="39"/>
    </row>
    <row r="45" spans="1:56" x14ac:dyDescent="0.35">
      <c r="B45" s="48"/>
      <c r="C45" s="300" t="s">
        <v>493</v>
      </c>
      <c r="D45" s="36"/>
      <c r="E45" s="36"/>
      <c r="F45" s="36">
        <f>IF(E45=0,0,D45/E45)</f>
        <v>0</v>
      </c>
      <c r="G45" s="269">
        <f>E45*F45/H42</f>
        <v>0</v>
      </c>
      <c r="H45" s="184" t="s">
        <v>487</v>
      </c>
      <c r="I45" s="220">
        <f>G45</f>
        <v>0</v>
      </c>
      <c r="J45" s="37"/>
      <c r="K45" s="39"/>
      <c r="L45" s="39"/>
      <c r="M45" s="39"/>
      <c r="N45" s="39"/>
      <c r="O45" s="39"/>
      <c r="R45" s="300" t="s">
        <v>493</v>
      </c>
      <c r="S45" s="36"/>
      <c r="T45" s="36"/>
      <c r="U45" s="36">
        <f>IF(T45=0,0,S45/T45)</f>
        <v>0</v>
      </c>
      <c r="V45" s="269">
        <f>T45*U45/W42</f>
        <v>0</v>
      </c>
      <c r="W45" s="184" t="s">
        <v>487</v>
      </c>
      <c r="X45" s="220">
        <f>V45</f>
        <v>0</v>
      </c>
      <c r="Y45" s="37"/>
      <c r="Z45" s="39"/>
      <c r="AA45" s="39"/>
      <c r="AB45" s="39"/>
      <c r="AC45" s="39"/>
      <c r="AD45" s="39"/>
    </row>
    <row r="46" spans="1:56" x14ac:dyDescent="0.35">
      <c r="B46" s="48"/>
      <c r="C46" s="301" t="s">
        <v>492</v>
      </c>
      <c r="D46" s="36">
        <v>8000</v>
      </c>
      <c r="E46" s="304"/>
      <c r="F46" s="302"/>
      <c r="G46" s="269">
        <f>D46/H42</f>
        <v>114.28571428571429</v>
      </c>
      <c r="H46" s="184" t="s">
        <v>489</v>
      </c>
      <c r="I46" s="220">
        <f>G46</f>
        <v>114.28571428571429</v>
      </c>
      <c r="J46" s="37"/>
      <c r="K46" s="39"/>
      <c r="L46" s="39"/>
      <c r="M46" s="39"/>
      <c r="N46" s="39"/>
      <c r="O46" s="39"/>
      <c r="R46" s="301" t="s">
        <v>492</v>
      </c>
      <c r="S46" s="36">
        <v>8000</v>
      </c>
      <c r="T46" s="304"/>
      <c r="U46" s="302"/>
      <c r="V46" s="269">
        <f>S46/W42</f>
        <v>114.28571428571429</v>
      </c>
      <c r="W46" s="184" t="s">
        <v>489</v>
      </c>
      <c r="X46" s="220">
        <f>V46</f>
        <v>114.28571428571429</v>
      </c>
      <c r="Y46" s="37"/>
      <c r="Z46" s="39"/>
      <c r="AA46" s="39"/>
      <c r="AB46" s="39"/>
      <c r="AC46" s="39"/>
      <c r="AD46" s="39"/>
    </row>
    <row r="47" spans="1:56" ht="15" thickBot="1" x14ac:dyDescent="0.4">
      <c r="B47" s="48"/>
      <c r="C47" s="301" t="s">
        <v>533</v>
      </c>
      <c r="D47" s="36">
        <f>Energiantarve!A44*0.081</f>
        <v>0</v>
      </c>
      <c r="E47" s="305"/>
      <c r="F47" s="303"/>
      <c r="G47" s="269">
        <f>D47/H42</f>
        <v>0</v>
      </c>
      <c r="H47" s="184" t="s">
        <v>465</v>
      </c>
      <c r="I47" s="220">
        <f>G47</f>
        <v>0</v>
      </c>
      <c r="J47" s="37"/>
      <c r="K47" s="39"/>
      <c r="L47" s="39"/>
      <c r="M47" s="39"/>
      <c r="N47" s="39"/>
      <c r="O47" s="39"/>
      <c r="R47" s="301" t="s">
        <v>533</v>
      </c>
      <c r="S47" s="36">
        <f>Energiantarve!P44*0.081</f>
        <v>0</v>
      </c>
      <c r="T47" s="305"/>
      <c r="U47" s="303"/>
      <c r="V47" s="269">
        <f>S47/W42</f>
        <v>0</v>
      </c>
      <c r="W47" s="184" t="s">
        <v>465</v>
      </c>
      <c r="X47" s="220">
        <f>V47</f>
        <v>0</v>
      </c>
      <c r="Y47" s="37"/>
      <c r="Z47" s="39"/>
      <c r="AA47" s="39"/>
      <c r="AB47" s="39"/>
      <c r="AC47" s="39"/>
      <c r="AD47" s="39"/>
    </row>
    <row r="48" spans="1:56" ht="15" thickBot="1" x14ac:dyDescent="0.4">
      <c r="B48" s="48"/>
      <c r="C48" s="77" t="s">
        <v>81</v>
      </c>
      <c r="D48" s="39"/>
      <c r="E48" s="37"/>
      <c r="F48" s="39"/>
      <c r="G48" s="271">
        <f>SUM(G44:G47)</f>
        <v>3257.1428571428569</v>
      </c>
      <c r="H48" s="257"/>
      <c r="I48" s="257"/>
      <c r="J48" s="37"/>
      <c r="K48" s="39"/>
      <c r="L48" s="39"/>
      <c r="M48" s="39"/>
      <c r="N48" s="39"/>
      <c r="O48" s="39"/>
      <c r="R48" s="77" t="s">
        <v>81</v>
      </c>
      <c r="S48" s="39"/>
      <c r="T48" s="37"/>
      <c r="U48" s="39"/>
      <c r="V48" s="271">
        <f>SUM(V44:V47)</f>
        <v>4400</v>
      </c>
      <c r="W48" s="257"/>
      <c r="X48" s="257"/>
      <c r="Y48" s="37"/>
      <c r="Z48" s="39"/>
      <c r="AA48" s="39"/>
      <c r="AB48" s="39"/>
      <c r="AC48" s="39"/>
      <c r="AD48" s="39"/>
    </row>
    <row r="49" spans="2:30" x14ac:dyDescent="0.35">
      <c r="B49" s="48"/>
      <c r="C49" s="77"/>
      <c r="D49" s="39"/>
      <c r="E49" s="39"/>
      <c r="F49" s="39"/>
      <c r="G49" s="390"/>
      <c r="H49" s="257"/>
      <c r="I49" s="257"/>
      <c r="J49" s="37"/>
      <c r="K49" s="39"/>
      <c r="L49" s="39"/>
      <c r="M49" s="39"/>
      <c r="N49" s="39"/>
      <c r="O49" s="39"/>
      <c r="R49" s="77"/>
      <c r="S49" s="39"/>
      <c r="T49" s="39"/>
      <c r="U49" s="39"/>
      <c r="V49" s="390"/>
      <c r="W49" s="257"/>
      <c r="X49" s="257"/>
      <c r="Y49" s="37"/>
      <c r="Z49" s="39"/>
      <c r="AA49" s="39"/>
      <c r="AB49" s="39"/>
      <c r="AC49" s="39"/>
      <c r="AD49" s="39"/>
    </row>
    <row r="50" spans="2:30" ht="18.5" x14ac:dyDescent="0.45">
      <c r="B50" s="48"/>
      <c r="C50" s="575" t="s">
        <v>34</v>
      </c>
      <c r="D50" s="576"/>
      <c r="E50" s="576"/>
      <c r="F50" s="576"/>
      <c r="G50" s="577"/>
      <c r="H50" s="578"/>
      <c r="I50" s="579"/>
      <c r="J50" s="37"/>
      <c r="K50" s="569" t="s">
        <v>684</v>
      </c>
      <c r="L50" s="569"/>
      <c r="M50" s="569"/>
      <c r="N50" s="569"/>
      <c r="O50" s="569"/>
      <c r="R50" s="575" t="s">
        <v>34</v>
      </c>
      <c r="S50" s="576"/>
      <c r="T50" s="576"/>
      <c r="U50" s="576"/>
      <c r="V50" s="577"/>
      <c r="W50" s="578"/>
      <c r="X50" s="579"/>
      <c r="Y50" s="37"/>
      <c r="Z50" s="569" t="s">
        <v>684</v>
      </c>
      <c r="AA50" s="569"/>
      <c r="AB50" s="569"/>
      <c r="AC50" s="569"/>
      <c r="AD50" s="569"/>
    </row>
    <row r="51" spans="2:30" ht="15.5" x14ac:dyDescent="0.35">
      <c r="B51" s="48"/>
      <c r="C51" s="51" t="s">
        <v>35</v>
      </c>
      <c r="D51" s="19"/>
      <c r="E51" s="21"/>
      <c r="F51" s="19"/>
      <c r="G51" s="273"/>
      <c r="H51" s="295"/>
      <c r="I51" s="19"/>
      <c r="J51" s="37"/>
      <c r="K51" s="39"/>
      <c r="L51" s="39"/>
      <c r="M51" s="39"/>
      <c r="N51" s="39" t="s">
        <v>40</v>
      </c>
      <c r="O51" s="39"/>
      <c r="R51" s="51" t="s">
        <v>35</v>
      </c>
      <c r="S51" s="19"/>
      <c r="T51" s="21"/>
      <c r="U51" s="19"/>
      <c r="V51" s="273"/>
      <c r="W51" s="295"/>
      <c r="X51" s="19"/>
      <c r="Y51" s="37"/>
      <c r="Z51" s="39"/>
      <c r="AA51" s="39"/>
      <c r="AB51" s="39"/>
      <c r="AC51" s="39" t="s">
        <v>40</v>
      </c>
      <c r="AD51" s="39"/>
    </row>
    <row r="52" spans="2:30" ht="22" x14ac:dyDescent="0.35">
      <c r="B52" s="48"/>
      <c r="C52" s="44" t="s">
        <v>36</v>
      </c>
      <c r="D52" s="316" t="s">
        <v>37</v>
      </c>
      <c r="E52" s="122" t="s">
        <v>25</v>
      </c>
      <c r="F52" s="316" t="s">
        <v>38</v>
      </c>
      <c r="G52" s="268" t="s">
        <v>534</v>
      </c>
      <c r="H52" s="296" t="s">
        <v>505</v>
      </c>
      <c r="I52" s="19"/>
      <c r="J52" s="37"/>
      <c r="K52" s="39"/>
      <c r="L52" s="39"/>
      <c r="M52" s="39"/>
      <c r="N52" s="54" t="s">
        <v>39</v>
      </c>
      <c r="O52" s="50" t="s">
        <v>43</v>
      </c>
      <c r="R52" s="44" t="s">
        <v>36</v>
      </c>
      <c r="S52" s="316" t="s">
        <v>37</v>
      </c>
      <c r="T52" s="122" t="s">
        <v>25</v>
      </c>
      <c r="U52" s="316" t="s">
        <v>38</v>
      </c>
      <c r="V52" s="268" t="s">
        <v>534</v>
      </c>
      <c r="W52" s="296" t="s">
        <v>505</v>
      </c>
      <c r="X52" s="19"/>
      <c r="Y52" s="37"/>
      <c r="Z52" s="39"/>
      <c r="AA52" s="39"/>
      <c r="AB52" s="39"/>
      <c r="AC52" s="54" t="s">
        <v>39</v>
      </c>
      <c r="AD52" s="50" t="s">
        <v>43</v>
      </c>
    </row>
    <row r="53" spans="2:30" x14ac:dyDescent="0.35">
      <c r="B53" s="48"/>
      <c r="C53" s="14" t="s">
        <v>476</v>
      </c>
      <c r="D53" s="36">
        <v>528000</v>
      </c>
      <c r="E53" s="124">
        <v>0.18</v>
      </c>
      <c r="F53" s="22">
        <v>1</v>
      </c>
      <c r="G53" s="269">
        <f>D53*E53*F53/H42</f>
        <v>1357.7142857142858</v>
      </c>
      <c r="H53" s="387">
        <f>'Säilörehun tuotantokustannus'!N5</f>
        <v>0.12</v>
      </c>
      <c r="I53" s="387">
        <f>ROUNDUP((D53*H53*F53/H42)*(1-I82)/100,3)</f>
        <v>8.734</v>
      </c>
      <c r="J53" s="37"/>
      <c r="K53" s="61" t="s">
        <v>35</v>
      </c>
      <c r="L53" s="39"/>
      <c r="M53" s="39"/>
      <c r="N53" s="527">
        <f>SUM(N54:N67)</f>
        <v>22.566616276524648</v>
      </c>
      <c r="O53" s="63">
        <f>IF(N$81=0,0,N53/N$81)</f>
        <v>0.57353640624011593</v>
      </c>
      <c r="R53" s="14" t="s">
        <v>476</v>
      </c>
      <c r="S53" s="36">
        <v>528000</v>
      </c>
      <c r="T53" s="124">
        <v>0.126</v>
      </c>
      <c r="U53" s="22">
        <v>1</v>
      </c>
      <c r="V53" s="269">
        <f>S53*T53*U53/W42</f>
        <v>950.4</v>
      </c>
      <c r="W53" s="387">
        <f>'Säilörehun tuotantokustannus'!N5</f>
        <v>0.12</v>
      </c>
      <c r="X53" s="387">
        <f>ROUNDUP((S53*W53*U53/W42)*(1-X82)/100,3)</f>
        <v>8.8170000000000002</v>
      </c>
      <c r="Y53" s="37"/>
      <c r="Z53" s="61" t="s">
        <v>35</v>
      </c>
      <c r="AA53" s="39"/>
      <c r="AB53" s="39"/>
      <c r="AC53" s="527">
        <f>SUM(AC54:AC67)</f>
        <v>12.877100770426235</v>
      </c>
      <c r="AD53" s="63">
        <f>IF(AC$81=0,0,AC53/AC$81)</f>
        <v>0.39777402290095681</v>
      </c>
    </row>
    <row r="54" spans="2:30" x14ac:dyDescent="0.35">
      <c r="B54" s="48"/>
      <c r="C54" s="14" t="s">
        <v>477</v>
      </c>
      <c r="D54" s="36">
        <v>67940</v>
      </c>
      <c r="E54" s="394">
        <v>0.16</v>
      </c>
      <c r="F54" s="22">
        <f>F$14</f>
        <v>1</v>
      </c>
      <c r="G54" s="269">
        <f>D54*E54*F54/H42</f>
        <v>155.29142857142855</v>
      </c>
      <c r="H54" s="297"/>
      <c r="I54" s="19"/>
      <c r="J54" s="37"/>
      <c r="K54" s="39"/>
      <c r="L54" s="68" t="str">
        <f>C53</f>
        <v xml:space="preserve">   Säilörehu</v>
      </c>
      <c r="M54" s="39"/>
      <c r="N54" s="382">
        <f>G53*(1-I82)/(E44/H42)*100</f>
        <v>15.284210526315793</v>
      </c>
      <c r="O54" s="69">
        <f t="shared" ref="O54:O79" si="18">IF(N$81=0,0,N54/N$81)</f>
        <v>0.38845217510963576</v>
      </c>
      <c r="R54" s="14" t="s">
        <v>477</v>
      </c>
      <c r="S54" s="36">
        <v>67940</v>
      </c>
      <c r="T54" s="394">
        <v>0.16</v>
      </c>
      <c r="U54" s="22">
        <f>U$14</f>
        <v>1</v>
      </c>
      <c r="V54" s="269">
        <f>S54*T54*U54/W42</f>
        <v>155.29142857142855</v>
      </c>
      <c r="W54" s="297"/>
      <c r="X54" s="19"/>
      <c r="Y54" s="37"/>
      <c r="Z54" s="39"/>
      <c r="AA54" s="68" t="str">
        <f>R53</f>
        <v xml:space="preserve">   Säilörehu</v>
      </c>
      <c r="AB54" s="39"/>
      <c r="AC54" s="382">
        <f>V53*(1-X82)/(T44/W42)*100</f>
        <v>8.4155844155844157</v>
      </c>
      <c r="AD54" s="69">
        <f t="shared" ref="AD54:AD79" si="19">IF(AC$81=0,0,AC54/AC$81)</f>
        <v>0.25995765100615947</v>
      </c>
    </row>
    <row r="55" spans="2:30" x14ac:dyDescent="0.35">
      <c r="B55" s="48"/>
      <c r="C55" s="14" t="s">
        <v>478</v>
      </c>
      <c r="D55" s="36">
        <v>0</v>
      </c>
      <c r="E55" s="394">
        <v>0.12</v>
      </c>
      <c r="F55" s="22">
        <f>F$14</f>
        <v>1</v>
      </c>
      <c r="G55" s="269">
        <f>D55*E55*F55/H42</f>
        <v>0</v>
      </c>
      <c r="H55" s="297"/>
      <c r="I55" s="19"/>
      <c r="J55" s="37"/>
      <c r="K55" s="39"/>
      <c r="L55" s="68" t="str">
        <f>C54</f>
        <v xml:space="preserve">   Rehuvilja</v>
      </c>
      <c r="M55" s="39"/>
      <c r="N55" s="382">
        <f>G54*(1-I82)/(E44/H42)*100</f>
        <v>1.7481637426900585</v>
      </c>
      <c r="O55" s="69">
        <f t="shared" si="18"/>
        <v>4.4430034978028027E-2</v>
      </c>
      <c r="R55" s="14" t="s">
        <v>478</v>
      </c>
      <c r="S55" s="36">
        <v>0</v>
      </c>
      <c r="T55" s="394">
        <v>0.12</v>
      </c>
      <c r="U55" s="22">
        <f>U$14</f>
        <v>1</v>
      </c>
      <c r="V55" s="269">
        <f>S55*T55*U55/W42</f>
        <v>0</v>
      </c>
      <c r="W55" s="297"/>
      <c r="X55" s="19"/>
      <c r="Y55" s="37"/>
      <c r="Z55" s="39"/>
      <c r="AA55" s="68" t="str">
        <f>R54</f>
        <v xml:space="preserve">   Rehuvilja</v>
      </c>
      <c r="AB55" s="39"/>
      <c r="AC55" s="382">
        <f>V54*(1-X82)/(T44/W42)*100</f>
        <v>1.375071681565188</v>
      </c>
      <c r="AD55" s="69">
        <f t="shared" si="19"/>
        <v>4.2476004832511967E-2</v>
      </c>
    </row>
    <row r="56" spans="2:30" x14ac:dyDescent="0.35">
      <c r="B56" s="48"/>
      <c r="C56" s="14" t="s">
        <v>479</v>
      </c>
      <c r="D56" s="36">
        <v>0</v>
      </c>
      <c r="E56" s="394">
        <v>0.12</v>
      </c>
      <c r="F56" s="22">
        <f>F$14</f>
        <v>1</v>
      </c>
      <c r="G56" s="269">
        <f>D56*E56*F56/H42</f>
        <v>0</v>
      </c>
      <c r="H56" s="297"/>
      <c r="I56" s="19"/>
      <c r="J56" s="37"/>
      <c r="K56" s="39"/>
      <c r="L56" s="68" t="str">
        <f>C55</f>
        <v xml:space="preserve">   Kokoviljasäilörehu</v>
      </c>
      <c r="M56" s="39"/>
      <c r="N56" s="382">
        <f>G55*(1-I82)/(E44/H42)*100</f>
        <v>0</v>
      </c>
      <c r="O56" s="69">
        <f t="shared" si="18"/>
        <v>0</v>
      </c>
      <c r="R56" s="14" t="s">
        <v>479</v>
      </c>
      <c r="S56" s="36">
        <v>0</v>
      </c>
      <c r="T56" s="394">
        <v>0.12</v>
      </c>
      <c r="U56" s="22">
        <f>U$14</f>
        <v>1</v>
      </c>
      <c r="V56" s="269">
        <f>S56*T56*U56/W42</f>
        <v>0</v>
      </c>
      <c r="W56" s="297"/>
      <c r="X56" s="19"/>
      <c r="Y56" s="37"/>
      <c r="Z56" s="39"/>
      <c r="AA56" s="68" t="str">
        <f>R55</f>
        <v xml:space="preserve">   Kokoviljasäilörehu</v>
      </c>
      <c r="AB56" s="39"/>
      <c r="AC56" s="382">
        <f>V55*(1-X82)/(T44/W42)*100</f>
        <v>0</v>
      </c>
      <c r="AD56" s="69">
        <f t="shared" si="19"/>
        <v>0</v>
      </c>
    </row>
    <row r="57" spans="2:30" x14ac:dyDescent="0.35">
      <c r="B57" s="48"/>
      <c r="C57" s="14" t="s">
        <v>480</v>
      </c>
      <c r="D57" s="36">
        <v>0</v>
      </c>
      <c r="E57" s="394">
        <v>0.12</v>
      </c>
      <c r="F57" s="22">
        <f>F$14</f>
        <v>1</v>
      </c>
      <c r="G57" s="269">
        <f>D57*E57*F57/H42</f>
        <v>0</v>
      </c>
      <c r="H57" s="297"/>
      <c r="I57" s="19"/>
      <c r="J57" s="37"/>
      <c r="K57" s="39"/>
      <c r="L57" s="68" t="str">
        <f>C56</f>
        <v xml:space="preserve">   Laidun</v>
      </c>
      <c r="M57" s="39"/>
      <c r="N57" s="382">
        <f>G56*(1-I82)/(E44/H42)*100</f>
        <v>0</v>
      </c>
      <c r="O57" s="69">
        <f t="shared" si="18"/>
        <v>0</v>
      </c>
      <c r="R57" s="14" t="s">
        <v>480</v>
      </c>
      <c r="S57" s="36">
        <v>0</v>
      </c>
      <c r="T57" s="394">
        <v>0.12</v>
      </c>
      <c r="U57" s="22">
        <f>U$14</f>
        <v>1</v>
      </c>
      <c r="V57" s="269">
        <f>S57*T57*U57/W42</f>
        <v>0</v>
      </c>
      <c r="W57" s="297"/>
      <c r="X57" s="19"/>
      <c r="Y57" s="37"/>
      <c r="Z57" s="39"/>
      <c r="AA57" s="68" t="str">
        <f>R56</f>
        <v xml:space="preserve">   Laidun</v>
      </c>
      <c r="AB57" s="39"/>
      <c r="AC57" s="382">
        <f>V56*(1-X82)/(T44/W42)*100</f>
        <v>0</v>
      </c>
      <c r="AD57" s="69">
        <f t="shared" si="19"/>
        <v>0</v>
      </c>
    </row>
    <row r="58" spans="2:30" x14ac:dyDescent="0.35">
      <c r="B58" s="48"/>
      <c r="C58" s="39"/>
      <c r="D58" s="39"/>
      <c r="E58" s="395" t="s">
        <v>75</v>
      </c>
      <c r="F58" s="395" t="s">
        <v>38</v>
      </c>
      <c r="G58" s="268" t="s">
        <v>534</v>
      </c>
      <c r="H58" s="297"/>
      <c r="I58" s="19"/>
      <c r="J58" s="37"/>
      <c r="K58" s="39"/>
      <c r="L58" s="68" t="str">
        <f>C57</f>
        <v xml:space="preserve">   Muut korsirehut</v>
      </c>
      <c r="M58" s="39"/>
      <c r="N58" s="382">
        <f>G57*(1-I82)/(E44/H42)*100</f>
        <v>0</v>
      </c>
      <c r="O58" s="69">
        <f t="shared" si="18"/>
        <v>0</v>
      </c>
      <c r="R58" s="39"/>
      <c r="S58" s="39"/>
      <c r="T58" s="395" t="s">
        <v>75</v>
      </c>
      <c r="U58" s="395" t="s">
        <v>38</v>
      </c>
      <c r="V58" s="268" t="s">
        <v>534</v>
      </c>
      <c r="W58" s="297"/>
      <c r="X58" s="19"/>
      <c r="Y58" s="37"/>
      <c r="Z58" s="39"/>
      <c r="AA58" s="68" t="str">
        <f>R57</f>
        <v xml:space="preserve">   Muut korsirehut</v>
      </c>
      <c r="AB58" s="39"/>
      <c r="AC58" s="382">
        <f>V57*(1-X82)/(T44/W42)*100</f>
        <v>0</v>
      </c>
      <c r="AD58" s="69">
        <f t="shared" si="19"/>
        <v>0</v>
      </c>
    </row>
    <row r="59" spans="2:30" x14ac:dyDescent="0.35">
      <c r="B59" s="48"/>
      <c r="C59" s="314" t="s">
        <v>47</v>
      </c>
      <c r="D59" s="315"/>
      <c r="E59" s="36">
        <v>22000</v>
      </c>
      <c r="F59" s="22">
        <f t="shared" ref="F59:F65" si="20">F$14</f>
        <v>1</v>
      </c>
      <c r="G59" s="269">
        <f>E59*F59/H42</f>
        <v>314.28571428571428</v>
      </c>
      <c r="H59" s="297"/>
      <c r="I59" s="19"/>
      <c r="J59" s="37"/>
      <c r="K59" s="39"/>
      <c r="L59" s="68" t="str">
        <f t="shared" ref="L59:L67" si="21">C59</f>
        <v>Ostorehut</v>
      </c>
      <c r="M59" s="39"/>
      <c r="N59" s="382">
        <f>G59*(1-I82)/(E44/H42)*100</f>
        <v>3.5380116959064329</v>
      </c>
      <c r="O59" s="69">
        <f t="shared" si="18"/>
        <v>8.9919484979082337E-2</v>
      </c>
      <c r="R59" s="314" t="s">
        <v>47</v>
      </c>
      <c r="S59" s="315"/>
      <c r="T59" s="36">
        <v>12000</v>
      </c>
      <c r="U59" s="22">
        <f t="shared" ref="U59:U65" si="22">U$14</f>
        <v>1</v>
      </c>
      <c r="V59" s="269">
        <f>T59*U59/W42</f>
        <v>171.42857142857142</v>
      </c>
      <c r="W59" s="297"/>
      <c r="X59" s="19"/>
      <c r="Y59" s="37"/>
      <c r="Z59" s="39"/>
      <c r="AA59" s="68" t="str">
        <f t="shared" ref="AA59:AA67" si="23">R59</f>
        <v>Ostorehut</v>
      </c>
      <c r="AB59" s="39"/>
      <c r="AC59" s="382">
        <f>V59*(1-X82)/(T44/W42)*100</f>
        <v>1.5179625569235957</v>
      </c>
      <c r="AD59" s="69">
        <f t="shared" si="19"/>
        <v>4.68899081901442E-2</v>
      </c>
    </row>
    <row r="60" spans="2:30" x14ac:dyDescent="0.35">
      <c r="B60" s="48"/>
      <c r="C60" s="877" t="s">
        <v>72</v>
      </c>
      <c r="D60" s="878"/>
      <c r="E60" s="36">
        <v>1550</v>
      </c>
      <c r="F60" s="22">
        <f t="shared" si="20"/>
        <v>1</v>
      </c>
      <c r="G60" s="269">
        <f>E60*F60/H42</f>
        <v>22.142857142857142</v>
      </c>
      <c r="H60" s="297"/>
      <c r="I60" s="19"/>
      <c r="J60" s="37"/>
      <c r="K60" s="39"/>
      <c r="L60" s="68" t="str">
        <f t="shared" si="21"/>
        <v>Kivennäiset</v>
      </c>
      <c r="M60" s="39"/>
      <c r="N60" s="382">
        <f>G60*(1-I82)/(E44/H42)*100</f>
        <v>0.24926900584795325</v>
      </c>
      <c r="O60" s="69">
        <f t="shared" si="18"/>
        <v>6.3352364417080748E-3</v>
      </c>
      <c r="R60" s="877" t="s">
        <v>72</v>
      </c>
      <c r="S60" s="878"/>
      <c r="T60" s="36">
        <v>1550</v>
      </c>
      <c r="U60" s="22">
        <f t="shared" si="22"/>
        <v>1</v>
      </c>
      <c r="V60" s="269">
        <f>T60*U60/W42</f>
        <v>22.142857142857142</v>
      </c>
      <c r="W60" s="297"/>
      <c r="X60" s="19"/>
      <c r="Y60" s="37"/>
      <c r="Z60" s="39"/>
      <c r="AA60" s="68" t="str">
        <f t="shared" si="23"/>
        <v>Kivennäiset</v>
      </c>
      <c r="AB60" s="39"/>
      <c r="AC60" s="382">
        <f>V60*(1-X82)/(T44/W42)*100</f>
        <v>0.19607016360263116</v>
      </c>
      <c r="AD60" s="69">
        <f t="shared" si="19"/>
        <v>6.0566131412269613E-3</v>
      </c>
    </row>
    <row r="61" spans="2:30" x14ac:dyDescent="0.35">
      <c r="B61" s="48"/>
      <c r="C61" s="877" t="s">
        <v>481</v>
      </c>
      <c r="D61" s="878"/>
      <c r="E61" s="36">
        <v>4000</v>
      </c>
      <c r="F61" s="22">
        <f t="shared" si="20"/>
        <v>1</v>
      </c>
      <c r="G61" s="269">
        <f>E61*F61/H42</f>
        <v>57.142857142857146</v>
      </c>
      <c r="H61" s="297"/>
      <c r="I61" s="19"/>
      <c r="J61" s="37"/>
      <c r="K61" s="39"/>
      <c r="L61" s="68" t="str">
        <f t="shared" si="21"/>
        <v>Lääkintä</v>
      </c>
      <c r="M61" s="39"/>
      <c r="N61" s="382">
        <f>G61*(1-I82)/(E44/H42)*100</f>
        <v>0.64327485380116967</v>
      </c>
      <c r="O61" s="69">
        <f t="shared" si="18"/>
        <v>1.6348997268924064E-2</v>
      </c>
      <c r="R61" s="877" t="s">
        <v>481</v>
      </c>
      <c r="S61" s="878"/>
      <c r="T61" s="36">
        <v>4000</v>
      </c>
      <c r="U61" s="22">
        <f t="shared" si="22"/>
        <v>1</v>
      </c>
      <c r="V61" s="269">
        <f>T61*U61/W42</f>
        <v>57.142857142857146</v>
      </c>
      <c r="W61" s="297"/>
      <c r="X61" s="19"/>
      <c r="Y61" s="37"/>
      <c r="Z61" s="39"/>
      <c r="AA61" s="68" t="str">
        <f t="shared" si="23"/>
        <v>Lääkintä</v>
      </c>
      <c r="AB61" s="39"/>
      <c r="AC61" s="382">
        <f>V61*(1-X82)/(T44/W42)*100</f>
        <v>0.50598751897453198</v>
      </c>
      <c r="AD61" s="69">
        <f t="shared" si="19"/>
        <v>1.5629969396714738E-2</v>
      </c>
    </row>
    <row r="62" spans="2:30" x14ac:dyDescent="0.35">
      <c r="B62" s="48"/>
      <c r="C62" s="877" t="s">
        <v>482</v>
      </c>
      <c r="D62" s="878"/>
      <c r="E62" s="36">
        <v>1700</v>
      </c>
      <c r="F62" s="22">
        <f t="shared" si="20"/>
        <v>1</v>
      </c>
      <c r="G62" s="269">
        <f>E62*F62/H42</f>
        <v>24.285714285714285</v>
      </c>
      <c r="H62" s="297"/>
      <c r="I62" s="19"/>
      <c r="J62" s="37"/>
      <c r="K62" s="39"/>
      <c r="L62" s="68" t="str">
        <f t="shared" si="21"/>
        <v>Siemennys, jalostus ym.</v>
      </c>
      <c r="M62" s="39"/>
      <c r="N62" s="382">
        <f>G62*(1-I82)/(E44/H42)*100</f>
        <v>0.27339181286549707</v>
      </c>
      <c r="O62" s="69">
        <f t="shared" si="18"/>
        <v>6.9483238392927258E-3</v>
      </c>
      <c r="R62" s="877" t="s">
        <v>482</v>
      </c>
      <c r="S62" s="878"/>
      <c r="T62" s="36">
        <v>1700</v>
      </c>
      <c r="U62" s="22">
        <f t="shared" si="22"/>
        <v>1</v>
      </c>
      <c r="V62" s="269">
        <f>T62*U62/W42</f>
        <v>24.285714285714285</v>
      </c>
      <c r="W62" s="297"/>
      <c r="X62" s="19"/>
      <c r="Y62" s="37"/>
      <c r="Z62" s="39"/>
      <c r="AA62" s="68" t="str">
        <f t="shared" si="23"/>
        <v>Siemennys, jalostus ym.</v>
      </c>
      <c r="AB62" s="39"/>
      <c r="AC62" s="382">
        <f>V62*(1-X82)/(T44/W42)*100</f>
        <v>0.2150446955641761</v>
      </c>
      <c r="AD62" s="69">
        <f t="shared" si="19"/>
        <v>6.6427369936037633E-3</v>
      </c>
    </row>
    <row r="63" spans="2:30" x14ac:dyDescent="0.35">
      <c r="B63" s="48"/>
      <c r="C63" s="877" t="s">
        <v>49</v>
      </c>
      <c r="D63" s="878"/>
      <c r="E63" s="36">
        <v>2000</v>
      </c>
      <c r="F63" s="22">
        <f t="shared" si="20"/>
        <v>1</v>
      </c>
      <c r="G63" s="269">
        <f>E63*F63/H42</f>
        <v>28.571428571428573</v>
      </c>
      <c r="H63" s="297"/>
      <c r="I63" s="19"/>
      <c r="J63" s="37"/>
      <c r="K63" s="39"/>
      <c r="L63" s="68" t="str">
        <f t="shared" si="21"/>
        <v>Kuivikkeet</v>
      </c>
      <c r="M63" s="39"/>
      <c r="N63" s="382">
        <f>G63*(1-I82)/(E44/H42)*100</f>
        <v>0.32163742690058483</v>
      </c>
      <c r="O63" s="69">
        <f t="shared" si="18"/>
        <v>8.1744986344620321E-3</v>
      </c>
      <c r="R63" s="877" t="s">
        <v>49</v>
      </c>
      <c r="S63" s="878"/>
      <c r="T63" s="36">
        <v>2000</v>
      </c>
      <c r="U63" s="22">
        <f t="shared" si="22"/>
        <v>1</v>
      </c>
      <c r="V63" s="269">
        <f>T63*U63/W42</f>
        <v>28.571428571428573</v>
      </c>
      <c r="W63" s="297"/>
      <c r="X63" s="19"/>
      <c r="Y63" s="37"/>
      <c r="Z63" s="39"/>
      <c r="AA63" s="68" t="str">
        <f t="shared" si="23"/>
        <v>Kuivikkeet</v>
      </c>
      <c r="AB63" s="39"/>
      <c r="AC63" s="382">
        <f>V63*(1-X82)/(T44/W42)*100</f>
        <v>0.25299375948726599</v>
      </c>
      <c r="AD63" s="69">
        <f t="shared" si="19"/>
        <v>7.814984698357369E-3</v>
      </c>
    </row>
    <row r="64" spans="2:30" x14ac:dyDescent="0.35">
      <c r="B64" s="48"/>
      <c r="C64" s="879" t="s">
        <v>50</v>
      </c>
      <c r="D64" s="875"/>
      <c r="E64" s="36">
        <v>1000</v>
      </c>
      <c r="F64" s="22">
        <f t="shared" si="20"/>
        <v>1</v>
      </c>
      <c r="G64" s="269">
        <f>E64*F64/H42</f>
        <v>14.285714285714286</v>
      </c>
      <c r="H64" s="297"/>
      <c r="I64" s="19"/>
      <c r="J64" s="37"/>
      <c r="K64" s="39"/>
      <c r="L64" s="282" t="str">
        <f t="shared" si="21"/>
        <v>Muut muuttuvat kustannukset</v>
      </c>
      <c r="M64" s="39"/>
      <c r="N64" s="382">
        <f>G64*(1-I82)/(E44/H42)*100</f>
        <v>0.16081871345029242</v>
      </c>
      <c r="O64" s="69">
        <f t="shared" si="18"/>
        <v>4.087249317231016E-3</v>
      </c>
      <c r="R64" s="879" t="s">
        <v>50</v>
      </c>
      <c r="S64" s="875"/>
      <c r="T64" s="36">
        <v>1000</v>
      </c>
      <c r="U64" s="22">
        <f t="shared" si="22"/>
        <v>1</v>
      </c>
      <c r="V64" s="269">
        <f>T64*U64/W42</f>
        <v>14.285714285714286</v>
      </c>
      <c r="W64" s="297"/>
      <c r="X64" s="19"/>
      <c r="Y64" s="37"/>
      <c r="Z64" s="39"/>
      <c r="AA64" s="282" t="str">
        <f t="shared" si="23"/>
        <v>Muut muuttuvat kustannukset</v>
      </c>
      <c r="AB64" s="39"/>
      <c r="AC64" s="382">
        <f>V64*(1-X82)/(T44/W42)*100</f>
        <v>0.126496879743633</v>
      </c>
      <c r="AD64" s="69">
        <f t="shared" si="19"/>
        <v>3.9074923491786845E-3</v>
      </c>
    </row>
    <row r="65" spans="2:30" x14ac:dyDescent="0.35">
      <c r="B65" s="48"/>
      <c r="C65" s="877" t="s">
        <v>51</v>
      </c>
      <c r="D65" s="878"/>
      <c r="E65" s="36">
        <v>2000</v>
      </c>
      <c r="F65" s="22">
        <f t="shared" si="20"/>
        <v>1</v>
      </c>
      <c r="G65" s="269">
        <f>E65*F65/H42</f>
        <v>28.571428571428573</v>
      </c>
      <c r="H65" s="297"/>
      <c r="I65" s="19"/>
      <c r="J65" s="37"/>
      <c r="K65" s="39"/>
      <c r="L65" s="68" t="str">
        <f t="shared" si="21"/>
        <v>Eläinten ostot</v>
      </c>
      <c r="M65" s="39"/>
      <c r="N65" s="382">
        <f>G65*(1-I82)/(E44/H42)*100</f>
        <v>0.32163742690058483</v>
      </c>
      <c r="O65" s="69">
        <f t="shared" si="18"/>
        <v>8.1744986344620321E-3</v>
      </c>
      <c r="R65" s="877" t="s">
        <v>51</v>
      </c>
      <c r="S65" s="878"/>
      <c r="T65" s="36">
        <v>2000</v>
      </c>
      <c r="U65" s="22">
        <f t="shared" si="22"/>
        <v>1</v>
      </c>
      <c r="V65" s="269">
        <f>T65*U65/W42</f>
        <v>28.571428571428573</v>
      </c>
      <c r="W65" s="297"/>
      <c r="X65" s="19"/>
      <c r="Y65" s="37"/>
      <c r="Z65" s="39"/>
      <c r="AA65" s="68" t="str">
        <f t="shared" si="23"/>
        <v>Eläinten ostot</v>
      </c>
      <c r="AB65" s="39"/>
      <c r="AC65" s="382">
        <f>V65*(1-X82)/(T44/W42)*100</f>
        <v>0.25299375948726599</v>
      </c>
      <c r="AD65" s="69">
        <f t="shared" si="19"/>
        <v>7.814984698357369E-3</v>
      </c>
    </row>
    <row r="66" spans="2:30" x14ac:dyDescent="0.35">
      <c r="B66" s="48"/>
      <c r="C66" s="291" t="s">
        <v>52</v>
      </c>
      <c r="D66" s="36">
        <f>E65</f>
        <v>2000</v>
      </c>
      <c r="E66" s="36">
        <f>D66*I78</f>
        <v>100</v>
      </c>
      <c r="F66" s="22">
        <v>1</v>
      </c>
      <c r="G66" s="269">
        <f>E66*F66/H42</f>
        <v>1.4285714285714286</v>
      </c>
      <c r="H66" s="297"/>
      <c r="I66" s="19"/>
      <c r="J66" s="37"/>
      <c r="K66" s="39"/>
      <c r="L66" s="68" t="str">
        <f t="shared" si="21"/>
        <v>Eläinpääoman korko</v>
      </c>
      <c r="M66" s="55"/>
      <c r="N66" s="382">
        <f>G66*(1-I82)/(E44/H42)*100</f>
        <v>1.6081871345029239E-2</v>
      </c>
      <c r="O66" s="69">
        <f t="shared" si="18"/>
        <v>4.0872493172310152E-4</v>
      </c>
      <c r="R66" s="291" t="s">
        <v>52</v>
      </c>
      <c r="S66" s="36">
        <f>T65</f>
        <v>2000</v>
      </c>
      <c r="T66" s="36">
        <f>S66*X78</f>
        <v>100</v>
      </c>
      <c r="U66" s="22">
        <v>1</v>
      </c>
      <c r="V66" s="269">
        <f>T66*U66/W42</f>
        <v>1.4285714285714286</v>
      </c>
      <c r="W66" s="297"/>
      <c r="X66" s="19"/>
      <c r="Y66" s="37"/>
      <c r="Z66" s="39"/>
      <c r="AA66" s="68" t="str">
        <f t="shared" si="23"/>
        <v>Eläinpääoman korko</v>
      </c>
      <c r="AB66" s="55"/>
      <c r="AC66" s="382">
        <f>V66*(1-X82)/(T44/W42)*100</f>
        <v>1.2649687974363302E-2</v>
      </c>
      <c r="AD66" s="69">
        <f t="shared" si="19"/>
        <v>3.9074923491786849E-4</v>
      </c>
    </row>
    <row r="67" spans="2:30" x14ac:dyDescent="0.35">
      <c r="B67" s="48"/>
      <c r="C67" s="291" t="s">
        <v>53</v>
      </c>
      <c r="D67" s="36">
        <f>SUM(G51:G57,G60:G64,G70:G71)*I67</f>
        <v>1258.4605714285713</v>
      </c>
      <c r="E67" s="36">
        <f>D67*I78</f>
        <v>62.923028571428567</v>
      </c>
      <c r="F67" s="22">
        <v>1</v>
      </c>
      <c r="G67" s="269">
        <f>E67*F67/H42</f>
        <v>0.89890040816326522</v>
      </c>
      <c r="H67" s="297"/>
      <c r="I67" s="22">
        <v>0.6</v>
      </c>
      <c r="J67" s="37"/>
      <c r="K67" s="39"/>
      <c r="L67" s="68" t="str">
        <f t="shared" si="21"/>
        <v>Liikepääoman korko</v>
      </c>
      <c r="M67" s="73"/>
      <c r="N67" s="382">
        <f>G67*(1-I82)/(E44/H42)*100</f>
        <v>1.0119200501253133E-2</v>
      </c>
      <c r="O67" s="69">
        <f t="shared" si="18"/>
        <v>2.571821055666791E-4</v>
      </c>
      <c r="R67" s="291" t="s">
        <v>53</v>
      </c>
      <c r="S67" s="36">
        <f>SUM(V51:V57,V60:V64,V70:V71)*X67</f>
        <v>987.47914285714273</v>
      </c>
      <c r="T67" s="36">
        <f>S67*X78</f>
        <v>49.373957142857137</v>
      </c>
      <c r="U67" s="22">
        <v>1</v>
      </c>
      <c r="V67" s="269">
        <f>T67*U67/W42</f>
        <v>0.70534224489795905</v>
      </c>
      <c r="W67" s="297"/>
      <c r="X67" s="22">
        <v>0.6</v>
      </c>
      <c r="Y67" s="37"/>
      <c r="Z67" s="39"/>
      <c r="AA67" s="68" t="str">
        <f t="shared" si="23"/>
        <v>Liikepääoman korko</v>
      </c>
      <c r="AB67" s="73"/>
      <c r="AC67" s="382">
        <f>V67*(1-X82)/(T44/W42)*100</f>
        <v>6.2456515191672878E-3</v>
      </c>
      <c r="AD67" s="69">
        <f t="shared" si="19"/>
        <v>1.9292835978439049E-4</v>
      </c>
    </row>
    <row r="68" spans="2:30" x14ac:dyDescent="0.35">
      <c r="B68" s="48"/>
      <c r="C68" s="19"/>
      <c r="D68" s="19"/>
      <c r="E68" s="19"/>
      <c r="F68" s="19"/>
      <c r="G68" s="273"/>
      <c r="H68" s="297"/>
      <c r="I68" s="19"/>
      <c r="J68" s="37"/>
      <c r="K68" s="39"/>
      <c r="L68" s="39"/>
      <c r="M68" s="39"/>
      <c r="N68" s="382"/>
      <c r="O68" s="39"/>
      <c r="R68" s="19"/>
      <c r="S68" s="19"/>
      <c r="T68" s="19"/>
      <c r="U68" s="19"/>
      <c r="V68" s="273"/>
      <c r="W68" s="297"/>
      <c r="X68" s="19"/>
      <c r="Y68" s="37"/>
      <c r="Z68" s="39"/>
      <c r="AA68" s="39"/>
      <c r="AB68" s="39"/>
      <c r="AC68" s="382"/>
      <c r="AD68" s="39"/>
    </row>
    <row r="69" spans="2:30" ht="15.5" x14ac:dyDescent="0.35">
      <c r="B69" s="48"/>
      <c r="C69" s="51" t="s">
        <v>54</v>
      </c>
      <c r="D69" s="74" t="s">
        <v>55</v>
      </c>
      <c r="E69" s="54" t="s">
        <v>20</v>
      </c>
      <c r="F69" s="316" t="s">
        <v>38</v>
      </c>
      <c r="G69" s="268" t="s">
        <v>534</v>
      </c>
      <c r="H69" s="34" t="s">
        <v>466</v>
      </c>
      <c r="I69" s="34" t="s">
        <v>512</v>
      </c>
      <c r="J69" s="37"/>
      <c r="K69" s="61" t="s">
        <v>54</v>
      </c>
      <c r="L69" s="39"/>
      <c r="M69" s="39"/>
      <c r="N69" s="527">
        <f>SUM(N70:N71)</f>
        <v>4.9307017543859653</v>
      </c>
      <c r="O69" s="63">
        <f t="shared" si="18"/>
        <v>0.12531506406630294</v>
      </c>
      <c r="R69" s="51" t="s">
        <v>54</v>
      </c>
      <c r="S69" s="74" t="s">
        <v>55</v>
      </c>
      <c r="T69" s="54" t="s">
        <v>20</v>
      </c>
      <c r="U69" s="316" t="s">
        <v>38</v>
      </c>
      <c r="V69" s="268" t="s">
        <v>534</v>
      </c>
      <c r="W69" s="34" t="s">
        <v>466</v>
      </c>
      <c r="X69" s="34" t="s">
        <v>512</v>
      </c>
      <c r="Y69" s="37"/>
      <c r="Z69" s="61" t="s">
        <v>54</v>
      </c>
      <c r="AA69" s="39"/>
      <c r="AB69" s="39"/>
      <c r="AC69" s="527">
        <f>SUM(AC70:AC71)</f>
        <v>3.4859377635351656</v>
      </c>
      <c r="AD69" s="63">
        <f t="shared" si="19"/>
        <v>0.10768072041249156</v>
      </c>
    </row>
    <row r="70" spans="2:30" x14ac:dyDescent="0.35">
      <c r="B70" s="48"/>
      <c r="C70" s="17" t="s">
        <v>56</v>
      </c>
      <c r="D70" s="215">
        <v>4.5</v>
      </c>
      <c r="E70" s="36">
        <f>D70*365*H70</f>
        <v>27922.5</v>
      </c>
      <c r="F70" s="22">
        <f>F$14</f>
        <v>1</v>
      </c>
      <c r="G70" s="269">
        <f>E70*F70/H42</f>
        <v>398.89285714285717</v>
      </c>
      <c r="H70" s="124">
        <f>'Säilörehun tuotantokustannus'!$P$26</f>
        <v>17</v>
      </c>
      <c r="I70" s="215">
        <f>IF(H70=0,0,G70/H70)</f>
        <v>23.464285714285715</v>
      </c>
      <c r="J70" s="37"/>
      <c r="K70" s="39"/>
      <c r="L70" s="39" t="s">
        <v>243</v>
      </c>
      <c r="M70" s="39"/>
      <c r="N70" s="382">
        <f>G70*(1-I82)/(E44/H42)*100</f>
        <v>4.4904605263157897</v>
      </c>
      <c r="O70" s="69">
        <f t="shared" si="18"/>
        <v>0.11412621906038303</v>
      </c>
      <c r="R70" s="17" t="s">
        <v>56</v>
      </c>
      <c r="S70" s="215">
        <v>4</v>
      </c>
      <c r="T70" s="36">
        <f>S70*365*W70</f>
        <v>24820</v>
      </c>
      <c r="U70" s="22">
        <f>U$14</f>
        <v>1</v>
      </c>
      <c r="V70" s="269">
        <f>T70*U70/W42</f>
        <v>354.57142857142856</v>
      </c>
      <c r="W70" s="124">
        <f>'Säilörehun tuotantokustannus'!$P$26</f>
        <v>17</v>
      </c>
      <c r="X70" s="215">
        <f>IF(W70=0,0,V70/W70)</f>
        <v>20.857142857142858</v>
      </c>
      <c r="Y70" s="37"/>
      <c r="Z70" s="39"/>
      <c r="AA70" s="39" t="s">
        <v>243</v>
      </c>
      <c r="AB70" s="39"/>
      <c r="AC70" s="382">
        <f>V70*(1-X82)/(T44/W42)*100</f>
        <v>3.1396525552369705</v>
      </c>
      <c r="AD70" s="69">
        <f t="shared" si="19"/>
        <v>9.6983960106614933E-2</v>
      </c>
    </row>
    <row r="71" spans="2:30" x14ac:dyDescent="0.35">
      <c r="B71" s="48"/>
      <c r="C71" s="17" t="s">
        <v>61</v>
      </c>
      <c r="D71" s="215">
        <v>0.5</v>
      </c>
      <c r="E71" s="36">
        <f>D71*365*H71</f>
        <v>2737.5</v>
      </c>
      <c r="F71" s="22">
        <f>F$14</f>
        <v>1</v>
      </c>
      <c r="G71" s="269">
        <f>E71*F71/H42</f>
        <v>39.107142857142854</v>
      </c>
      <c r="H71" s="124">
        <f>'Säilörehun tuotantokustannus'!$P$27</f>
        <v>15</v>
      </c>
      <c r="I71" s="215">
        <f>IF(H71=0,0,G71/H71)</f>
        <v>2.6071428571428568</v>
      </c>
      <c r="J71" s="37"/>
      <c r="K71" s="39"/>
      <c r="L71" s="39" t="s">
        <v>62</v>
      </c>
      <c r="M71" s="39"/>
      <c r="N71" s="382">
        <f>G71*(1-I82)/(E44/H42)*100</f>
        <v>0.44024122807017552</v>
      </c>
      <c r="O71" s="69">
        <f t="shared" si="18"/>
        <v>1.1188845005919906E-2</v>
      </c>
      <c r="R71" s="17" t="s">
        <v>61</v>
      </c>
      <c r="S71" s="215">
        <v>0.5</v>
      </c>
      <c r="T71" s="36">
        <f>S71*365*W71</f>
        <v>2737.5</v>
      </c>
      <c r="U71" s="22">
        <f>U$14</f>
        <v>1</v>
      </c>
      <c r="V71" s="269">
        <f>T71*U71/W42</f>
        <v>39.107142857142854</v>
      </c>
      <c r="W71" s="124">
        <f>'Säilörehun tuotantokustannus'!$P$27</f>
        <v>15</v>
      </c>
      <c r="X71" s="215">
        <f>IF(W71=0,0,V71/W71)</f>
        <v>2.6071428571428568</v>
      </c>
      <c r="Y71" s="37"/>
      <c r="Z71" s="39"/>
      <c r="AA71" s="39" t="s">
        <v>62</v>
      </c>
      <c r="AB71" s="39"/>
      <c r="AC71" s="382">
        <f>V71*(1-X82)/(T44/W42)*100</f>
        <v>0.34628520829819531</v>
      </c>
      <c r="AD71" s="69">
        <f t="shared" si="19"/>
        <v>1.0696760305876648E-2</v>
      </c>
    </row>
    <row r="72" spans="2:30" x14ac:dyDescent="0.35">
      <c r="B72" s="48"/>
      <c r="C72" s="19"/>
      <c r="D72" s="19"/>
      <c r="E72" s="19"/>
      <c r="F72" s="19"/>
      <c r="G72" s="273"/>
      <c r="H72" s="297"/>
      <c r="I72" s="19"/>
      <c r="J72" s="37"/>
      <c r="K72" s="39"/>
      <c r="L72" s="39"/>
      <c r="M72" s="39"/>
      <c r="N72" s="382"/>
      <c r="O72" s="39"/>
      <c r="R72" s="19"/>
      <c r="S72" s="19"/>
      <c r="T72" s="19"/>
      <c r="U72" s="19"/>
      <c r="V72" s="273"/>
      <c r="W72" s="297"/>
      <c r="X72" s="19"/>
      <c r="Y72" s="37"/>
      <c r="Z72" s="39"/>
      <c r="AA72" s="39"/>
      <c r="AB72" s="39"/>
      <c r="AC72" s="382"/>
      <c r="AD72" s="39"/>
    </row>
    <row r="73" spans="2:30" ht="16" thickBot="1" x14ac:dyDescent="0.4">
      <c r="B73" s="48"/>
      <c r="C73" s="51" t="s">
        <v>63</v>
      </c>
      <c r="D73" s="19"/>
      <c r="E73" s="19"/>
      <c r="F73" s="20"/>
      <c r="G73" s="391"/>
      <c r="H73" s="297"/>
      <c r="I73" s="19"/>
      <c r="J73" s="37"/>
      <c r="K73" s="39"/>
      <c r="L73" s="39"/>
      <c r="M73" s="39"/>
      <c r="N73" s="382"/>
      <c r="O73" s="39"/>
      <c r="R73" s="51" t="s">
        <v>63</v>
      </c>
      <c r="S73" s="19"/>
      <c r="T73" s="19"/>
      <c r="U73" s="20"/>
      <c r="V73" s="391"/>
      <c r="W73" s="297"/>
      <c r="X73" s="19"/>
      <c r="Y73" s="37"/>
      <c r="Z73" s="39"/>
      <c r="AA73" s="39"/>
      <c r="AB73" s="39"/>
      <c r="AC73" s="382"/>
      <c r="AD73" s="39"/>
    </row>
    <row r="74" spans="2:30" ht="15" thickTop="1" x14ac:dyDescent="0.35">
      <c r="B74" s="48"/>
      <c r="C74" s="277" t="s">
        <v>64</v>
      </c>
      <c r="D74" s="292" t="s">
        <v>65</v>
      </c>
      <c r="E74" s="395" t="s">
        <v>20</v>
      </c>
      <c r="F74" s="395" t="s">
        <v>38</v>
      </c>
      <c r="G74" s="268" t="s">
        <v>534</v>
      </c>
      <c r="H74" s="297"/>
      <c r="I74" s="34" t="s">
        <v>470</v>
      </c>
      <c r="J74" s="37"/>
      <c r="K74" s="61" t="s">
        <v>63</v>
      </c>
      <c r="L74" s="39"/>
      <c r="M74" s="39"/>
      <c r="N74" s="527">
        <f>SUM(N75:N79)</f>
        <v>11.849122807017544</v>
      </c>
      <c r="O74" s="63">
        <f t="shared" si="18"/>
        <v>0.30114852969358119</v>
      </c>
      <c r="R74" s="277" t="s">
        <v>64</v>
      </c>
      <c r="S74" s="292" t="s">
        <v>65</v>
      </c>
      <c r="T74" s="395" t="s">
        <v>20</v>
      </c>
      <c r="U74" s="395" t="s">
        <v>38</v>
      </c>
      <c r="V74" s="268" t="s">
        <v>534</v>
      </c>
      <c r="W74" s="297"/>
      <c r="X74" s="34" t="s">
        <v>470</v>
      </c>
      <c r="Y74" s="37"/>
      <c r="Z74" s="61" t="s">
        <v>63</v>
      </c>
      <c r="AA74" s="39"/>
      <c r="AB74" s="39"/>
      <c r="AC74" s="527">
        <f>SUM(AC75:AC79)</f>
        <v>16.009866756620003</v>
      </c>
      <c r="AD74" s="63">
        <f t="shared" si="19"/>
        <v>0.49454525668655147</v>
      </c>
    </row>
    <row r="75" spans="2:30" x14ac:dyDescent="0.35">
      <c r="B75" s="48"/>
      <c r="C75" s="278" t="s">
        <v>66</v>
      </c>
      <c r="D75" s="317">
        <v>100000</v>
      </c>
      <c r="E75" s="16">
        <f>D75/15</f>
        <v>6666.666666666667</v>
      </c>
      <c r="F75" s="22">
        <f>F$14</f>
        <v>1</v>
      </c>
      <c r="G75" s="269">
        <f>E75*F75/H42</f>
        <v>95.238095238095241</v>
      </c>
      <c r="H75" s="297"/>
      <c r="I75" s="320">
        <v>0.03</v>
      </c>
      <c r="J75" s="37"/>
      <c r="K75" s="39"/>
      <c r="L75" s="39" t="s">
        <v>67</v>
      </c>
      <c r="M75" s="39"/>
      <c r="N75" s="382">
        <f>G75*(1-I82)/(E44/H42)*100</f>
        <v>1.0721247563352827</v>
      </c>
      <c r="O75" s="69">
        <f t="shared" si="18"/>
        <v>2.7248328781540102E-2</v>
      </c>
      <c r="R75" s="278" t="s">
        <v>66</v>
      </c>
      <c r="S75" s="317">
        <v>170000</v>
      </c>
      <c r="T75" s="16">
        <f>S75/15</f>
        <v>11333.333333333334</v>
      </c>
      <c r="U75" s="22">
        <f>U$14</f>
        <v>1</v>
      </c>
      <c r="V75" s="269">
        <f>T75*U75/W42</f>
        <v>161.90476190476193</v>
      </c>
      <c r="W75" s="297"/>
      <c r="X75" s="320">
        <v>0.03</v>
      </c>
      <c r="Y75" s="37"/>
      <c r="Z75" s="39"/>
      <c r="AA75" s="39" t="s">
        <v>67</v>
      </c>
      <c r="AB75" s="39"/>
      <c r="AC75" s="382">
        <f>V75*(1-X82)/(T44/W42)*100</f>
        <v>1.4336313037611741</v>
      </c>
      <c r="AD75" s="69">
        <f t="shared" si="19"/>
        <v>4.4284913290691758E-2</v>
      </c>
    </row>
    <row r="76" spans="2:30" ht="15" thickBot="1" x14ac:dyDescent="0.4">
      <c r="B76" s="48"/>
      <c r="C76" s="279" t="s">
        <v>68</v>
      </c>
      <c r="D76" s="318">
        <v>500000</v>
      </c>
      <c r="E76" s="16">
        <f>D76/15</f>
        <v>33333.333333333336</v>
      </c>
      <c r="F76" s="22">
        <f>F$14</f>
        <v>1</v>
      </c>
      <c r="G76" s="269">
        <f>E76*F76/H42</f>
        <v>476.1904761904762</v>
      </c>
      <c r="H76" s="297"/>
      <c r="I76" s="320">
        <v>0.01</v>
      </c>
      <c r="J76" s="37"/>
      <c r="K76" s="39"/>
      <c r="L76" s="39" t="s">
        <v>69</v>
      </c>
      <c r="M76" s="39"/>
      <c r="N76" s="382">
        <f>G76*(1-I82)/(E44/H42)*100</f>
        <v>5.3606237816764146</v>
      </c>
      <c r="O76" s="69">
        <f t="shared" si="18"/>
        <v>0.13624164390770055</v>
      </c>
      <c r="R76" s="279" t="s">
        <v>68</v>
      </c>
      <c r="S76" s="318">
        <v>900000</v>
      </c>
      <c r="T76" s="16">
        <f>S76/15</f>
        <v>60000</v>
      </c>
      <c r="U76" s="22">
        <f>U$14</f>
        <v>1</v>
      </c>
      <c r="V76" s="269">
        <f>T76*U76/W42</f>
        <v>857.14285714285711</v>
      </c>
      <c r="W76" s="297"/>
      <c r="X76" s="320">
        <v>0.01</v>
      </c>
      <c r="Y76" s="37"/>
      <c r="Z76" s="39"/>
      <c r="AA76" s="39" t="s">
        <v>69</v>
      </c>
      <c r="AB76" s="39"/>
      <c r="AC76" s="382">
        <f>V76*(1-X82)/(T44/W42)*100</f>
        <v>7.5898127846179788</v>
      </c>
      <c r="AD76" s="69">
        <f t="shared" si="19"/>
        <v>0.23444954095072101</v>
      </c>
    </row>
    <row r="77" spans="2:30" ht="15" thickTop="1" x14ac:dyDescent="0.35">
      <c r="B77" s="48"/>
      <c r="C77" s="276" t="s">
        <v>71</v>
      </c>
      <c r="D77" s="96">
        <v>5000</v>
      </c>
      <c r="E77" s="36">
        <f>D77/H42</f>
        <v>71.428571428571431</v>
      </c>
      <c r="F77" s="22">
        <f>F$14</f>
        <v>1</v>
      </c>
      <c r="G77" s="269">
        <f>E77*F77</f>
        <v>71.428571428571431</v>
      </c>
      <c r="H77" s="297"/>
      <c r="I77" s="36">
        <f>(D76*I76+D75*I75)/H42</f>
        <v>114.28571428571429</v>
      </c>
      <c r="J77" s="37"/>
      <c r="K77" s="39"/>
      <c r="L77" s="39" t="s">
        <v>71</v>
      </c>
      <c r="M77" s="39"/>
      <c r="N77" s="382">
        <f>G77*(1-I82)/(E44/H42)*100</f>
        <v>0.80409356725146208</v>
      </c>
      <c r="O77" s="69">
        <f t="shared" si="18"/>
        <v>2.0436246586155078E-2</v>
      </c>
      <c r="R77" s="276" t="s">
        <v>71</v>
      </c>
      <c r="S77" s="96">
        <v>10000</v>
      </c>
      <c r="T77" s="36">
        <f>S77/W42</f>
        <v>142.85714285714286</v>
      </c>
      <c r="U77" s="22">
        <f>U$14</f>
        <v>1</v>
      </c>
      <c r="V77" s="269">
        <f>T77*U77</f>
        <v>142.85714285714286</v>
      </c>
      <c r="W77" s="297"/>
      <c r="X77" s="36">
        <f>(S76*X76+S75*X75)/W42</f>
        <v>201.42857142857142</v>
      </c>
      <c r="Y77" s="37"/>
      <c r="Z77" s="39"/>
      <c r="AA77" s="39" t="s">
        <v>71</v>
      </c>
      <c r="AB77" s="39"/>
      <c r="AC77" s="382">
        <f>V77*(1-X82)/(T44/W42)*100</f>
        <v>1.26496879743633</v>
      </c>
      <c r="AD77" s="69">
        <f t="shared" si="19"/>
        <v>3.9074923491786838E-2</v>
      </c>
    </row>
    <row r="78" spans="2:30" x14ac:dyDescent="0.35">
      <c r="B78" s="48"/>
      <c r="C78" s="14" t="s">
        <v>73</v>
      </c>
      <c r="D78" s="36">
        <f>(D75+D76+D80)/2*I78</f>
        <v>15000</v>
      </c>
      <c r="E78" s="16">
        <f>(D75/2+D76/2)*I78/H42</f>
        <v>214.28571428571428</v>
      </c>
      <c r="F78" s="22">
        <f>F$14</f>
        <v>1</v>
      </c>
      <c r="G78" s="269">
        <f>E78*F78</f>
        <v>214.28571428571428</v>
      </c>
      <c r="H78" s="297"/>
      <c r="I78" s="22">
        <v>0.05</v>
      </c>
      <c r="J78" s="37"/>
      <c r="K78" s="39"/>
      <c r="L78" s="39" t="s">
        <v>73</v>
      </c>
      <c r="M78" s="39"/>
      <c r="N78" s="382">
        <f>G78*(1-I82)/(E44/H42)*100</f>
        <v>2.4122807017543857</v>
      </c>
      <c r="O78" s="69">
        <f t="shared" si="18"/>
        <v>6.1308739758465222E-2</v>
      </c>
      <c r="R78" s="14" t="s">
        <v>73</v>
      </c>
      <c r="S78" s="36">
        <f>(S75+S76+S80)/2*X78</f>
        <v>26750</v>
      </c>
      <c r="T78" s="16">
        <f>(S75/2+S76/2)*X78/W42</f>
        <v>382.14285714285717</v>
      </c>
      <c r="U78" s="22">
        <f>U$14</f>
        <v>1</v>
      </c>
      <c r="V78" s="269">
        <f>T78*U78</f>
        <v>382.14285714285717</v>
      </c>
      <c r="W78" s="297"/>
      <c r="X78" s="22">
        <v>0.05</v>
      </c>
      <c r="Y78" s="37"/>
      <c r="Z78" s="39"/>
      <c r="AA78" s="39" t="s">
        <v>73</v>
      </c>
      <c r="AB78" s="39"/>
      <c r="AC78" s="382">
        <f>V78*(1-X82)/(T44/W42)*100</f>
        <v>3.3837915331421824</v>
      </c>
      <c r="AD78" s="69">
        <f t="shared" si="19"/>
        <v>0.10452542034052979</v>
      </c>
    </row>
    <row r="79" spans="2:30" x14ac:dyDescent="0.35">
      <c r="B79" s="48"/>
      <c r="C79" s="14" t="s">
        <v>74</v>
      </c>
      <c r="D79" s="36">
        <f>E79*H42</f>
        <v>13680</v>
      </c>
      <c r="E79" s="36">
        <f>G48*I79</f>
        <v>195.42857142857142</v>
      </c>
      <c r="F79" s="22">
        <f>F$14</f>
        <v>1</v>
      </c>
      <c r="G79" s="269">
        <f>E79*F79</f>
        <v>195.42857142857142</v>
      </c>
      <c r="H79" s="297"/>
      <c r="I79" s="22">
        <v>0.06</v>
      </c>
      <c r="J79" s="37"/>
      <c r="K79" s="39"/>
      <c r="L79" s="39" t="s">
        <v>74</v>
      </c>
      <c r="M79" s="39"/>
      <c r="N79" s="382">
        <f>G79*(1-I82)/(E44/H42)*100</f>
        <v>2.1999999999999997</v>
      </c>
      <c r="O79" s="69">
        <f t="shared" si="18"/>
        <v>5.5913570659720281E-2</v>
      </c>
      <c r="R79" s="14" t="s">
        <v>74</v>
      </c>
      <c r="S79" s="36">
        <f>T79*W42</f>
        <v>18480</v>
      </c>
      <c r="T79" s="36">
        <f>V48*X79</f>
        <v>264</v>
      </c>
      <c r="U79" s="22">
        <f>U$14</f>
        <v>1</v>
      </c>
      <c r="V79" s="269">
        <f>T79*U79</f>
        <v>264</v>
      </c>
      <c r="W79" s="297"/>
      <c r="X79" s="22">
        <v>0.06</v>
      </c>
      <c r="Y79" s="37"/>
      <c r="Z79" s="39"/>
      <c r="AA79" s="39" t="s">
        <v>74</v>
      </c>
      <c r="AB79" s="39"/>
      <c r="AC79" s="382">
        <f>V79*(1-X82)/(T44/W42)*100</f>
        <v>2.3376623376623376</v>
      </c>
      <c r="AD79" s="69">
        <f t="shared" si="19"/>
        <v>7.2210458612822076E-2</v>
      </c>
    </row>
    <row r="80" spans="2:30" ht="15" thickBot="1" x14ac:dyDescent="0.4">
      <c r="B80" s="48"/>
      <c r="C80" s="39"/>
      <c r="D80" s="39"/>
      <c r="E80" s="39"/>
      <c r="F80" s="39"/>
      <c r="G80" s="89"/>
      <c r="H80" s="298"/>
      <c r="I80" s="39"/>
      <c r="J80" s="37"/>
      <c r="K80" s="39"/>
      <c r="L80" s="39"/>
      <c r="M80" s="39"/>
      <c r="N80" s="382"/>
      <c r="O80" s="39"/>
      <c r="Q80" s="80"/>
      <c r="R80" s="39"/>
      <c r="S80" s="39"/>
      <c r="T80" s="39"/>
      <c r="U80" s="39"/>
      <c r="V80" s="89"/>
      <c r="W80" s="298"/>
      <c r="X80" s="39"/>
      <c r="Y80" s="37"/>
      <c r="Z80" s="39"/>
      <c r="AA80" s="39"/>
      <c r="AB80" s="39"/>
      <c r="AC80" s="382"/>
      <c r="AD80" s="39"/>
    </row>
    <row r="81" spans="1:31" ht="15" thickBot="1" x14ac:dyDescent="0.4">
      <c r="B81" s="48"/>
      <c r="C81" s="39"/>
      <c r="D81" s="39"/>
      <c r="E81" s="39"/>
      <c r="F81" s="56" t="s">
        <v>535</v>
      </c>
      <c r="G81" s="271">
        <f>SUM(G53:G79)</f>
        <v>3495.1903289795919</v>
      </c>
      <c r="H81" s="298"/>
      <c r="I81" s="39"/>
      <c r="J81" s="37"/>
      <c r="K81" s="61" t="s">
        <v>539</v>
      </c>
      <c r="L81" s="77"/>
      <c r="N81" s="527">
        <f>SUM(N54:N68,N70:N72,N75:N80)</f>
        <v>39.346440837928156</v>
      </c>
      <c r="O81" s="39"/>
      <c r="R81" s="39"/>
      <c r="S81" s="39"/>
      <c r="T81" s="39"/>
      <c r="U81" s="56" t="s">
        <v>535</v>
      </c>
      <c r="V81" s="271">
        <f>SUM(V53:V79)</f>
        <v>3655.9801041496598</v>
      </c>
      <c r="W81" s="298"/>
      <c r="X81" s="39"/>
      <c r="Y81" s="37"/>
      <c r="Z81" s="61" t="s">
        <v>539</v>
      </c>
      <c r="AA81" s="77"/>
      <c r="AC81" s="527">
        <f>SUM(AC54:AC68,AC70:AC72,AC75:AC80)</f>
        <v>32.372905290581407</v>
      </c>
      <c r="AD81" s="39"/>
    </row>
    <row r="82" spans="1:31" ht="15" thickBot="1" x14ac:dyDescent="0.4">
      <c r="B82" s="48"/>
      <c r="C82" s="39"/>
      <c r="D82" s="39"/>
      <c r="E82" s="39"/>
      <c r="F82" s="56" t="s">
        <v>511</v>
      </c>
      <c r="G82" s="392">
        <f>SUM(G45:G46)</f>
        <v>114.28571428571429</v>
      </c>
      <c r="H82" s="298"/>
      <c r="I82" s="381">
        <f>IF(G48=0,0,G82/G48)</f>
        <v>3.5087719298245619E-2</v>
      </c>
      <c r="J82" s="37"/>
      <c r="K82" s="61"/>
      <c r="L82" s="384" t="s">
        <v>538</v>
      </c>
      <c r="M82" s="127"/>
      <c r="N82" s="528"/>
      <c r="O82" s="37"/>
      <c r="R82" s="39"/>
      <c r="S82" s="39"/>
      <c r="T82" s="39"/>
      <c r="U82" s="56" t="s">
        <v>511</v>
      </c>
      <c r="V82" s="392">
        <f>SUM(V45:V46)</f>
        <v>114.28571428571429</v>
      </c>
      <c r="W82" s="298"/>
      <c r="X82" s="381">
        <f>IF(V48=0,0,V82/V48)</f>
        <v>2.5974025974025976E-2</v>
      </c>
      <c r="Y82" s="37"/>
      <c r="Z82" s="61"/>
      <c r="AA82" s="384" t="s">
        <v>538</v>
      </c>
      <c r="AB82" s="127"/>
      <c r="AC82" s="528"/>
      <c r="AD82" s="37"/>
    </row>
    <row r="83" spans="1:31" ht="15" thickBot="1" x14ac:dyDescent="0.4">
      <c r="B83" s="48"/>
      <c r="C83" s="39"/>
      <c r="D83" s="39"/>
      <c r="E83" s="39"/>
      <c r="F83" s="56" t="s">
        <v>536</v>
      </c>
      <c r="G83" s="271">
        <f>G81-G82</f>
        <v>3380.9046146938776</v>
      </c>
      <c r="H83" s="379"/>
      <c r="I83" s="380"/>
      <c r="J83" s="37"/>
      <c r="K83" s="61"/>
      <c r="L83" s="384" t="s">
        <v>507</v>
      </c>
      <c r="M83" s="127"/>
      <c r="N83" s="528">
        <f>N81-N54+I53</f>
        <v>32.796230311612362</v>
      </c>
      <c r="O83" s="37"/>
      <c r="R83" s="39"/>
      <c r="S83" s="39"/>
      <c r="T83" s="39"/>
      <c r="U83" s="56" t="s">
        <v>536</v>
      </c>
      <c r="V83" s="271">
        <f>V81-V82</f>
        <v>3541.6943898639456</v>
      </c>
      <c r="W83" s="379"/>
      <c r="X83" s="380"/>
      <c r="Y83" s="37"/>
      <c r="Z83" s="61"/>
      <c r="AA83" s="384" t="s">
        <v>507</v>
      </c>
      <c r="AB83" s="127"/>
      <c r="AC83" s="528">
        <f>AC81-AC54+X53</f>
        <v>32.774320874996988</v>
      </c>
      <c r="AD83" s="37"/>
    </row>
    <row r="84" spans="1:31" x14ac:dyDescent="0.35">
      <c r="B84" s="48"/>
      <c r="C84" s="39"/>
      <c r="D84" s="39"/>
      <c r="E84" s="39"/>
      <c r="F84" s="39"/>
      <c r="G84" s="39"/>
      <c r="H84" s="39"/>
      <c r="I84" s="39"/>
      <c r="K84" s="61"/>
      <c r="L84" s="37" t="str">
        <f>CONCATENATE('Säilörehun tuotantokustannus'!N5," €/kg ka eli ",I53," €/tuotettu kg")</f>
        <v>0,12 €/kg ka eli 8,734 €/tuotettu kg</v>
      </c>
      <c r="M84" s="37"/>
      <c r="N84" s="386"/>
      <c r="O84" s="37"/>
      <c r="R84" s="39"/>
      <c r="S84" s="39"/>
      <c r="T84" s="39"/>
      <c r="U84" s="39"/>
      <c r="V84" s="39"/>
      <c r="W84" s="39"/>
      <c r="X84" s="39"/>
      <c r="Z84" s="61"/>
      <c r="AA84" s="37" t="str">
        <f>CONCATENATE('Säilörehun tuotantokustannus'!N5," €/kg ka eli ",X53," €/tuotettu kg")</f>
        <v>0,12 €/kg ka eli 8,817 €/tuotettu kg</v>
      </c>
      <c r="AB84" s="37"/>
      <c r="AC84" s="386"/>
      <c r="AD84" s="37"/>
    </row>
    <row r="85" spans="1:31" x14ac:dyDescent="0.35">
      <c r="B85" s="48"/>
      <c r="C85" s="39"/>
      <c r="D85" s="39"/>
      <c r="E85" s="39"/>
      <c r="F85" s="39"/>
      <c r="G85" s="39"/>
      <c r="H85" s="39"/>
      <c r="I85" s="39"/>
      <c r="K85" s="61"/>
      <c r="L85" s="77"/>
      <c r="M85" s="77"/>
      <c r="N85" s="62"/>
      <c r="O85" s="39"/>
      <c r="R85" s="39"/>
      <c r="S85" s="39"/>
      <c r="T85" s="39"/>
      <c r="U85" s="39"/>
      <c r="V85" s="39"/>
      <c r="W85" s="39"/>
      <c r="X85" s="39"/>
      <c r="Z85" s="61"/>
      <c r="AA85" s="77"/>
      <c r="AB85" s="77"/>
      <c r="AC85" s="62"/>
      <c r="AD85" s="39"/>
    </row>
    <row r="86" spans="1:31" s="396" customFormat="1" ht="27" customHeight="1" x14ac:dyDescent="0.35">
      <c r="A86" s="80"/>
      <c r="B86" s="80"/>
      <c r="C86" s="49"/>
      <c r="D86" s="49"/>
      <c r="E86" s="49"/>
      <c r="F86" s="49"/>
      <c r="G86" s="49"/>
      <c r="H86" s="49"/>
      <c r="I86" s="49"/>
      <c r="J86" s="80"/>
      <c r="K86" s="49"/>
      <c r="L86" s="49"/>
      <c r="M86" s="49"/>
      <c r="N86" s="49"/>
      <c r="O86" s="49"/>
      <c r="P86" s="49"/>
      <c r="Q86" s="80"/>
      <c r="R86" s="49"/>
      <c r="S86" s="49"/>
      <c r="T86" s="49"/>
      <c r="U86" s="49"/>
      <c r="V86" s="49"/>
      <c r="W86" s="49"/>
      <c r="X86" s="49"/>
      <c r="Y86" s="80"/>
      <c r="Z86" s="49"/>
      <c r="AA86" s="49"/>
      <c r="AB86" s="49"/>
      <c r="AC86" s="49"/>
      <c r="AD86" s="49"/>
      <c r="AE86" s="49"/>
    </row>
    <row r="87" spans="1:31" ht="27" customHeight="1" x14ac:dyDescent="0.35">
      <c r="A87" s="306"/>
      <c r="B87" s="599"/>
      <c r="C87" s="602"/>
      <c r="D87" s="602"/>
      <c r="E87" s="602"/>
      <c r="F87" s="600" t="s">
        <v>542</v>
      </c>
      <c r="G87" s="601" t="s">
        <v>41</v>
      </c>
      <c r="H87" s="599"/>
      <c r="I87" s="599"/>
      <c r="J87" s="599"/>
      <c r="K87" s="599"/>
      <c r="L87" s="599"/>
      <c r="M87" s="599"/>
      <c r="N87" s="599"/>
      <c r="O87" s="599"/>
      <c r="P87" s="306"/>
      <c r="Q87" s="306"/>
      <c r="R87" s="599"/>
      <c r="S87" s="599"/>
      <c r="T87" s="599"/>
      <c r="U87" s="600" t="str">
        <f>F87</f>
        <v>Emolehmä, yhdistelmätuotanto,</v>
      </c>
      <c r="V87" s="601" t="s">
        <v>42</v>
      </c>
      <c r="W87" s="602"/>
      <c r="X87" s="602"/>
      <c r="Y87" s="603"/>
      <c r="Z87" s="602"/>
      <c r="AA87" s="602"/>
      <c r="AB87" s="602"/>
      <c r="AC87" s="602"/>
      <c r="AD87" s="602"/>
    </row>
    <row r="88" spans="1:31" ht="18.5" x14ac:dyDescent="0.45">
      <c r="B88" s="602"/>
      <c r="C88" s="575" t="s">
        <v>475</v>
      </c>
      <c r="D88" s="576"/>
      <c r="E88" s="576"/>
      <c r="F88" s="576"/>
      <c r="G88" s="577" t="s">
        <v>405</v>
      </c>
      <c r="H88" s="578"/>
      <c r="I88" s="579" t="s">
        <v>79</v>
      </c>
      <c r="J88" s="37"/>
      <c r="K88" s="39"/>
      <c r="L88" s="39"/>
      <c r="M88" s="39"/>
      <c r="N88" s="39"/>
      <c r="O88" s="39"/>
      <c r="R88" s="575" t="s">
        <v>475</v>
      </c>
      <c r="S88" s="576"/>
      <c r="T88" s="576"/>
      <c r="U88" s="576"/>
      <c r="V88" s="577" t="s">
        <v>405</v>
      </c>
      <c r="W88" s="578"/>
      <c r="X88" s="579" t="s">
        <v>79</v>
      </c>
      <c r="Y88" s="37"/>
      <c r="Z88" s="39"/>
      <c r="AA88" s="39"/>
      <c r="AB88" s="39"/>
      <c r="AC88" s="39"/>
      <c r="AD88" s="39"/>
    </row>
    <row r="89" spans="1:31" ht="22" x14ac:dyDescent="0.35">
      <c r="B89" s="602"/>
      <c r="C89" s="51" t="s">
        <v>77</v>
      </c>
      <c r="D89" s="294" t="s">
        <v>281</v>
      </c>
      <c r="E89" s="54" t="s">
        <v>490</v>
      </c>
      <c r="F89" s="316" t="s">
        <v>491</v>
      </c>
      <c r="G89" s="268" t="s">
        <v>484</v>
      </c>
      <c r="H89" s="184" t="s">
        <v>486</v>
      </c>
      <c r="I89" s="184"/>
      <c r="J89" s="37"/>
      <c r="K89" s="39"/>
      <c r="L89" s="39"/>
      <c r="M89" s="39"/>
      <c r="N89" s="39"/>
      <c r="O89" s="39"/>
      <c r="R89" s="51" t="s">
        <v>77</v>
      </c>
      <c r="S89" s="294" t="s">
        <v>281</v>
      </c>
      <c r="T89" s="54" t="s">
        <v>490</v>
      </c>
      <c r="U89" s="316" t="s">
        <v>491</v>
      </c>
      <c r="V89" s="268" t="s">
        <v>484</v>
      </c>
      <c r="W89" s="184" t="s">
        <v>486</v>
      </c>
      <c r="X89" s="184"/>
      <c r="Y89" s="37"/>
      <c r="Z89" s="39"/>
      <c r="AA89" s="39"/>
      <c r="AB89" s="39"/>
      <c r="AC89" s="39"/>
      <c r="AD89" s="39"/>
    </row>
    <row r="90" spans="1:31" x14ac:dyDescent="0.35">
      <c r="B90" s="602"/>
      <c r="C90" s="300" t="s">
        <v>493</v>
      </c>
      <c r="D90" s="36"/>
      <c r="E90" s="36"/>
      <c r="F90" s="124"/>
      <c r="G90" s="269">
        <f>E90*F90/H$3</f>
        <v>0</v>
      </c>
      <c r="H90" s="184" t="s">
        <v>487</v>
      </c>
      <c r="I90" s="220">
        <f>G90</f>
        <v>0</v>
      </c>
      <c r="J90" s="37"/>
      <c r="K90" s="39"/>
      <c r="L90" s="39"/>
      <c r="M90" s="39"/>
      <c r="N90" s="39"/>
      <c r="O90" s="39"/>
      <c r="R90" s="300" t="s">
        <v>493</v>
      </c>
      <c r="S90" s="36"/>
      <c r="T90" s="36"/>
      <c r="U90" s="124"/>
      <c r="V90" s="269">
        <f>T90*U90/W$3</f>
        <v>0</v>
      </c>
      <c r="W90" s="184" t="s">
        <v>487</v>
      </c>
      <c r="X90" s="220">
        <f>V90</f>
        <v>0</v>
      </c>
      <c r="Y90" s="37"/>
      <c r="Z90" s="39"/>
      <c r="AA90" s="39"/>
      <c r="AB90" s="39"/>
      <c r="AC90" s="39"/>
      <c r="AD90" s="39"/>
    </row>
    <row r="91" spans="1:31" x14ac:dyDescent="0.35">
      <c r="B91" s="602"/>
      <c r="C91" s="300" t="s">
        <v>494</v>
      </c>
      <c r="D91" s="36"/>
      <c r="E91" s="36"/>
      <c r="F91" s="36"/>
      <c r="G91" s="269">
        <f>E91*F91/H$3</f>
        <v>0</v>
      </c>
      <c r="H91" s="184" t="s">
        <v>495</v>
      </c>
      <c r="I91" s="220">
        <f>G91</f>
        <v>0</v>
      </c>
      <c r="J91" s="37"/>
      <c r="K91" s="39"/>
      <c r="L91" s="39"/>
      <c r="M91" s="39"/>
      <c r="N91" s="39"/>
      <c r="O91" s="39"/>
      <c r="R91" s="300" t="s">
        <v>494</v>
      </c>
      <c r="S91" s="36"/>
      <c r="T91" s="36"/>
      <c r="U91" s="36"/>
      <c r="V91" s="269">
        <f>T91*U91/W$3</f>
        <v>0</v>
      </c>
      <c r="W91" s="184" t="s">
        <v>495</v>
      </c>
      <c r="X91" s="220">
        <f>V91</f>
        <v>0</v>
      </c>
      <c r="Y91" s="37"/>
      <c r="Z91" s="39"/>
      <c r="AA91" s="39"/>
      <c r="AB91" s="39"/>
      <c r="AC91" s="39"/>
      <c r="AD91" s="39"/>
    </row>
    <row r="92" spans="1:31" x14ac:dyDescent="0.35">
      <c r="B92" s="602"/>
      <c r="C92" s="301" t="s">
        <v>492</v>
      </c>
      <c r="D92" s="36"/>
      <c r="E92" s="304"/>
      <c r="F92" s="302"/>
      <c r="G92" s="269">
        <f>D92/H$3</f>
        <v>0</v>
      </c>
      <c r="H92" s="184" t="s">
        <v>489</v>
      </c>
      <c r="I92" s="220">
        <f>G92</f>
        <v>0</v>
      </c>
      <c r="J92" s="37"/>
      <c r="K92" s="39"/>
      <c r="L92" s="39"/>
      <c r="M92" s="39"/>
      <c r="N92" s="39"/>
      <c r="O92" s="39"/>
      <c r="R92" s="301" t="s">
        <v>492</v>
      </c>
      <c r="S92" s="36"/>
      <c r="T92" s="304"/>
      <c r="U92" s="302"/>
      <c r="V92" s="269">
        <f>S92/W$3</f>
        <v>0</v>
      </c>
      <c r="W92" s="184" t="s">
        <v>489</v>
      </c>
      <c r="X92" s="220">
        <f>V92</f>
        <v>0</v>
      </c>
      <c r="Y92" s="37"/>
      <c r="Z92" s="39"/>
      <c r="AA92" s="39"/>
      <c r="AB92" s="39"/>
      <c r="AC92" s="39"/>
      <c r="AD92" s="39"/>
    </row>
    <row r="93" spans="1:31" ht="15" thickBot="1" x14ac:dyDescent="0.4">
      <c r="B93" s="602"/>
      <c r="C93" s="301" t="s">
        <v>488</v>
      </c>
      <c r="D93" s="36"/>
      <c r="E93" s="305"/>
      <c r="F93" s="303"/>
      <c r="G93" s="269">
        <f>D93/H$3</f>
        <v>0</v>
      </c>
      <c r="H93" s="184" t="s">
        <v>465</v>
      </c>
      <c r="I93" s="220">
        <f>G93</f>
        <v>0</v>
      </c>
      <c r="J93" s="37"/>
      <c r="K93" s="39"/>
      <c r="L93" s="39"/>
      <c r="M93" s="39"/>
      <c r="N93" s="39"/>
      <c r="O93" s="39"/>
      <c r="R93" s="301" t="s">
        <v>488</v>
      </c>
      <c r="S93" s="36"/>
      <c r="T93" s="305"/>
      <c r="U93" s="303"/>
      <c r="V93" s="269">
        <f>S93/W$3</f>
        <v>0</v>
      </c>
      <c r="W93" s="184" t="s">
        <v>465</v>
      </c>
      <c r="X93" s="220">
        <f>V93</f>
        <v>0</v>
      </c>
      <c r="Y93" s="37"/>
      <c r="Z93" s="39"/>
      <c r="AA93" s="39"/>
      <c r="AB93" s="39"/>
      <c r="AC93" s="39"/>
      <c r="AD93" s="39"/>
    </row>
    <row r="94" spans="1:31" ht="15" thickBot="1" x14ac:dyDescent="0.4">
      <c r="B94" s="602"/>
      <c r="C94" s="77" t="s">
        <v>81</v>
      </c>
      <c r="D94" s="39"/>
      <c r="E94" s="37"/>
      <c r="F94" s="39"/>
      <c r="G94" s="271">
        <f>SUM(G90:G93)</f>
        <v>0</v>
      </c>
      <c r="H94" s="257"/>
      <c r="I94" s="257"/>
      <c r="J94" s="37"/>
      <c r="K94" s="39"/>
      <c r="L94" s="39"/>
      <c r="M94" s="39"/>
      <c r="N94" s="39"/>
      <c r="O94" s="39"/>
      <c r="R94" s="77" t="s">
        <v>81</v>
      </c>
      <c r="S94" s="39"/>
      <c r="T94" s="37"/>
      <c r="U94" s="39"/>
      <c r="V94" s="271">
        <f>SUM(V90:V93)</f>
        <v>0</v>
      </c>
      <c r="W94" s="257"/>
      <c r="X94" s="257"/>
      <c r="Y94" s="37"/>
      <c r="Z94" s="39"/>
      <c r="AA94" s="39"/>
      <c r="AB94" s="39"/>
      <c r="AC94" s="39"/>
      <c r="AD94" s="39"/>
    </row>
    <row r="95" spans="1:31" x14ac:dyDescent="0.35">
      <c r="B95" s="602"/>
      <c r="C95" s="77"/>
      <c r="D95" s="39"/>
      <c r="E95" s="39"/>
      <c r="F95" s="39"/>
      <c r="G95" s="390"/>
      <c r="H95" s="257"/>
      <c r="I95" s="257"/>
      <c r="J95" s="37"/>
      <c r="K95" s="39"/>
      <c r="L95" s="39"/>
      <c r="M95" s="39"/>
      <c r="N95" s="39"/>
      <c r="O95" s="39"/>
      <c r="R95" s="77"/>
      <c r="S95" s="39"/>
      <c r="T95" s="39"/>
      <c r="U95" s="39"/>
      <c r="V95" s="390"/>
      <c r="W95" s="257"/>
      <c r="X95" s="257"/>
      <c r="Y95" s="37"/>
      <c r="Z95" s="39"/>
      <c r="AA95" s="39"/>
      <c r="AB95" s="39"/>
      <c r="AC95" s="39"/>
      <c r="AD95" s="39"/>
    </row>
    <row r="96" spans="1:31" ht="18.5" x14ac:dyDescent="0.45">
      <c r="B96" s="602"/>
      <c r="C96" s="575" t="s">
        <v>34</v>
      </c>
      <c r="D96" s="576"/>
      <c r="E96" s="576"/>
      <c r="F96" s="576"/>
      <c r="G96" s="577"/>
      <c r="H96" s="578"/>
      <c r="I96" s="579"/>
      <c r="J96" s="37"/>
      <c r="K96" s="569" t="s">
        <v>683</v>
      </c>
      <c r="L96" s="569"/>
      <c r="M96" s="569"/>
      <c r="N96" s="569"/>
      <c r="O96" s="569"/>
      <c r="R96" s="575" t="s">
        <v>34</v>
      </c>
      <c r="S96" s="576"/>
      <c r="T96" s="576"/>
      <c r="U96" s="576"/>
      <c r="V96" s="577"/>
      <c r="W96" s="578"/>
      <c r="X96" s="579"/>
      <c r="Y96" s="37"/>
      <c r="Z96" s="569" t="s">
        <v>683</v>
      </c>
      <c r="AA96" s="569"/>
      <c r="AB96" s="569"/>
      <c r="AC96" s="569"/>
      <c r="AD96" s="569"/>
    </row>
    <row r="97" spans="2:30" ht="15.5" x14ac:dyDescent="0.35">
      <c r="B97" s="602"/>
      <c r="C97" s="51" t="s">
        <v>35</v>
      </c>
      <c r="D97" s="19"/>
      <c r="E97" s="21"/>
      <c r="F97" s="19"/>
      <c r="G97" s="273"/>
      <c r="H97" s="295"/>
      <c r="I97" s="19"/>
      <c r="J97" s="37"/>
      <c r="K97" s="39"/>
      <c r="L97" s="39"/>
      <c r="M97" s="39"/>
      <c r="N97" s="39" t="s">
        <v>40</v>
      </c>
      <c r="O97" s="39"/>
      <c r="R97" s="51" t="s">
        <v>35</v>
      </c>
      <c r="S97" s="19"/>
      <c r="T97" s="21"/>
      <c r="U97" s="19"/>
      <c r="V97" s="273"/>
      <c r="W97" s="295"/>
      <c r="X97" s="19"/>
      <c r="Y97" s="37"/>
      <c r="Z97" s="39"/>
      <c r="AA97" s="39"/>
      <c r="AB97" s="39"/>
      <c r="AC97" s="39" t="s">
        <v>40</v>
      </c>
      <c r="AD97" s="39"/>
    </row>
    <row r="98" spans="2:30" ht="22" x14ac:dyDescent="0.35">
      <c r="B98" s="602"/>
      <c r="C98" s="44" t="s">
        <v>36</v>
      </c>
      <c r="D98" s="316" t="s">
        <v>37</v>
      </c>
      <c r="E98" s="122" t="s">
        <v>25</v>
      </c>
      <c r="F98" s="316" t="s">
        <v>38</v>
      </c>
      <c r="G98" s="268" t="s">
        <v>483</v>
      </c>
      <c r="H98" s="296" t="s">
        <v>505</v>
      </c>
      <c r="I98" s="19"/>
      <c r="J98" s="37"/>
      <c r="K98" s="39"/>
      <c r="L98" s="39"/>
      <c r="M98" s="39"/>
      <c r="N98" s="54" t="s">
        <v>669</v>
      </c>
      <c r="O98" s="50" t="s">
        <v>43</v>
      </c>
      <c r="R98" s="44" t="s">
        <v>36</v>
      </c>
      <c r="S98" s="316" t="s">
        <v>37</v>
      </c>
      <c r="T98" s="122" t="s">
        <v>25</v>
      </c>
      <c r="U98" s="316" t="s">
        <v>38</v>
      </c>
      <c r="V98" s="268" t="s">
        <v>483</v>
      </c>
      <c r="W98" s="296" t="s">
        <v>505</v>
      </c>
      <c r="X98" s="19"/>
      <c r="Y98" s="37"/>
      <c r="Z98" s="39"/>
      <c r="AA98" s="39"/>
      <c r="AB98" s="39"/>
      <c r="AC98" s="54" t="s">
        <v>669</v>
      </c>
      <c r="AD98" s="50" t="s">
        <v>43</v>
      </c>
    </row>
    <row r="99" spans="2:30" x14ac:dyDescent="0.35">
      <c r="B99" s="602"/>
      <c r="C99" s="14" t="s">
        <v>476</v>
      </c>
      <c r="D99" s="36"/>
      <c r="E99" s="124"/>
      <c r="F99" s="22"/>
      <c r="G99" s="269">
        <f>D99*E99*F99/H$3</f>
        <v>0</v>
      </c>
      <c r="H99" s="387">
        <f>'Säilörehun tuotantokustannus'!F90</f>
        <v>0</v>
      </c>
      <c r="I99" s="387">
        <f>IF(E90=0,0,ROUNDUP(D99*H99*F99/E90*I128,3))</f>
        <v>0</v>
      </c>
      <c r="J99" s="37"/>
      <c r="K99" s="61" t="s">
        <v>35</v>
      </c>
      <c r="L99" s="39"/>
      <c r="M99" s="39"/>
      <c r="N99" s="383">
        <f>SUM(N100:N113)</f>
        <v>0</v>
      </c>
      <c r="O99" s="63">
        <f>IF(N$127=0,0,N99/N$127)</f>
        <v>0</v>
      </c>
      <c r="R99" s="14" t="s">
        <v>476</v>
      </c>
      <c r="S99" s="36"/>
      <c r="T99" s="124"/>
      <c r="U99" s="22"/>
      <c r="V99" s="269">
        <f>S99*T99*U99/W$3</f>
        <v>0</v>
      </c>
      <c r="W99" s="387">
        <f>'Säilörehun tuotantokustannus'!U90</f>
        <v>0</v>
      </c>
      <c r="X99" s="387">
        <f>IF(T90=0,0,ROUNDUP(S99*W99*U99/T90*X128,3))</f>
        <v>0</v>
      </c>
      <c r="Y99" s="37"/>
      <c r="Z99" s="61" t="s">
        <v>35</v>
      </c>
      <c r="AA99" s="39"/>
      <c r="AB99" s="39"/>
      <c r="AC99" s="383">
        <f>SUM(AC100:AC113)</f>
        <v>0</v>
      </c>
      <c r="AD99" s="63">
        <f>IF(AC$127=0,0,AC99/AC$127)</f>
        <v>0</v>
      </c>
    </row>
    <row r="100" spans="2:30" x14ac:dyDescent="0.35">
      <c r="B100" s="602"/>
      <c r="C100" s="14" t="s">
        <v>477</v>
      </c>
      <c r="D100" s="36"/>
      <c r="E100" s="394"/>
      <c r="F100" s="22"/>
      <c r="G100" s="269">
        <f>D100*E100*F100/H$3</f>
        <v>0</v>
      </c>
      <c r="H100" s="297"/>
      <c r="I100" s="19"/>
      <c r="J100" s="37"/>
      <c r="K100" s="39"/>
      <c r="L100" s="68" t="str">
        <f>C99</f>
        <v xml:space="preserve">   Säilörehu</v>
      </c>
      <c r="M100" s="39"/>
      <c r="N100" s="529">
        <f>IF(E$90+H$88=0,0,G99*(1-I$128)/(E$90/H$88)*100)</f>
        <v>0</v>
      </c>
      <c r="O100" s="69">
        <f t="shared" ref="O100:O125" si="24">IF(N$127=0,0,N100/N$127)</f>
        <v>0</v>
      </c>
      <c r="R100" s="14" t="s">
        <v>477</v>
      </c>
      <c r="S100" s="36"/>
      <c r="T100" s="394"/>
      <c r="U100" s="22"/>
      <c r="V100" s="269">
        <f>S100*T100*U100/W$3</f>
        <v>0</v>
      </c>
      <c r="W100" s="297"/>
      <c r="X100" s="19"/>
      <c r="Y100" s="37"/>
      <c r="Z100" s="39"/>
      <c r="AA100" s="68" t="str">
        <f>R99</f>
        <v xml:space="preserve">   Säilörehu</v>
      </c>
      <c r="AB100" s="39"/>
      <c r="AC100" s="529">
        <f>IF(T$90+W$88=0,0,V99*(1-X$128)/(T$90/W$88)*100)</f>
        <v>0</v>
      </c>
      <c r="AD100" s="69">
        <f t="shared" ref="AD100:AD125" si="25">IF(AC$127=0,0,AC100/AC$127)</f>
        <v>0</v>
      </c>
    </row>
    <row r="101" spans="2:30" x14ac:dyDescent="0.35">
      <c r="B101" s="602"/>
      <c r="C101" s="14" t="s">
        <v>478</v>
      </c>
      <c r="D101" s="36"/>
      <c r="E101" s="394"/>
      <c r="F101" s="22"/>
      <c r="G101" s="269">
        <f>D101*E101*F101/H$3</f>
        <v>0</v>
      </c>
      <c r="H101" s="297"/>
      <c r="I101" s="19"/>
      <c r="J101" s="37"/>
      <c r="K101" s="39"/>
      <c r="L101" s="68" t="str">
        <f>C100</f>
        <v xml:space="preserve">   Rehuvilja</v>
      </c>
      <c r="M101" s="39"/>
      <c r="N101" s="529">
        <f>IF(E$90+H$88=0,0,G100*(1-I$128)/(E$90/H$88)*100)</f>
        <v>0</v>
      </c>
      <c r="O101" s="69">
        <f t="shared" si="24"/>
        <v>0</v>
      </c>
      <c r="R101" s="14" t="s">
        <v>478</v>
      </c>
      <c r="S101" s="36"/>
      <c r="T101" s="394"/>
      <c r="U101" s="22"/>
      <c r="V101" s="269">
        <f>S101*T101*U101/W$3</f>
        <v>0</v>
      </c>
      <c r="W101" s="297"/>
      <c r="X101" s="19"/>
      <c r="Y101" s="37"/>
      <c r="Z101" s="39"/>
      <c r="AA101" s="68" t="str">
        <f>R100</f>
        <v xml:space="preserve">   Rehuvilja</v>
      </c>
      <c r="AB101" s="39"/>
      <c r="AC101" s="529">
        <f>IF(T$90+W$88=0,0,V100*(1-X$128)/(T$90/W$88)*100)</f>
        <v>0</v>
      </c>
      <c r="AD101" s="69">
        <f t="shared" si="25"/>
        <v>0</v>
      </c>
    </row>
    <row r="102" spans="2:30" x14ac:dyDescent="0.35">
      <c r="B102" s="602"/>
      <c r="C102" s="14" t="s">
        <v>479</v>
      </c>
      <c r="D102" s="36"/>
      <c r="E102" s="394"/>
      <c r="F102" s="22"/>
      <c r="G102" s="269">
        <f>D102*E102*F102/H$3</f>
        <v>0</v>
      </c>
      <c r="H102" s="297"/>
      <c r="I102" s="19"/>
      <c r="J102" s="37"/>
      <c r="K102" s="39"/>
      <c r="L102" s="68" t="str">
        <f>C101</f>
        <v xml:space="preserve">   Kokoviljasäilörehu</v>
      </c>
      <c r="M102" s="39"/>
      <c r="N102" s="529">
        <f>IF(E$90+H$88=0,0,G101*(1-I$128)/(E$90/H$88)*100)</f>
        <v>0</v>
      </c>
      <c r="O102" s="69">
        <f t="shared" si="24"/>
        <v>0</v>
      </c>
      <c r="R102" s="14" t="s">
        <v>479</v>
      </c>
      <c r="S102" s="36"/>
      <c r="T102" s="394"/>
      <c r="U102" s="22"/>
      <c r="V102" s="269">
        <f>S102*T102*U102/W$3</f>
        <v>0</v>
      </c>
      <c r="W102" s="297"/>
      <c r="X102" s="19"/>
      <c r="Y102" s="37"/>
      <c r="Z102" s="39"/>
      <c r="AA102" s="68" t="str">
        <f>R101</f>
        <v xml:space="preserve">   Kokoviljasäilörehu</v>
      </c>
      <c r="AB102" s="39"/>
      <c r="AC102" s="529">
        <f>IF(T$90+W$88=0,0,V101*(1-X$128)/(T$90/W$88)*100)</f>
        <v>0</v>
      </c>
      <c r="AD102" s="69">
        <f t="shared" si="25"/>
        <v>0</v>
      </c>
    </row>
    <row r="103" spans="2:30" x14ac:dyDescent="0.35">
      <c r="B103" s="602"/>
      <c r="C103" s="14" t="s">
        <v>480</v>
      </c>
      <c r="D103" s="36"/>
      <c r="E103" s="394"/>
      <c r="F103" s="22"/>
      <c r="G103" s="269">
        <f>D103*E103*F103/H$3</f>
        <v>0</v>
      </c>
      <c r="H103" s="297"/>
      <c r="I103" s="19"/>
      <c r="J103" s="37"/>
      <c r="K103" s="39"/>
      <c r="L103" s="68" t="str">
        <f>C102</f>
        <v xml:space="preserve">   Laidun</v>
      </c>
      <c r="M103" s="39"/>
      <c r="N103" s="529">
        <f>IF(E$90+H$88=0,0,G102*(1-I$128)/(E$90/H$88)*100)</f>
        <v>0</v>
      </c>
      <c r="O103" s="69">
        <f t="shared" si="24"/>
        <v>0</v>
      </c>
      <c r="R103" s="14" t="s">
        <v>480</v>
      </c>
      <c r="S103" s="36"/>
      <c r="T103" s="394"/>
      <c r="U103" s="22"/>
      <c r="V103" s="269">
        <f>S103*T103*U103/W$3</f>
        <v>0</v>
      </c>
      <c r="W103" s="297"/>
      <c r="X103" s="19"/>
      <c r="Y103" s="37"/>
      <c r="Z103" s="39"/>
      <c r="AA103" s="68" t="str">
        <f>R102</f>
        <v xml:space="preserve">   Laidun</v>
      </c>
      <c r="AB103" s="39"/>
      <c r="AC103" s="529">
        <f>IF(T$90+W$88=0,0,V102*(1-X$128)/(T$90/W$88)*100)</f>
        <v>0</v>
      </c>
      <c r="AD103" s="69">
        <f t="shared" si="25"/>
        <v>0</v>
      </c>
    </row>
    <row r="104" spans="2:30" x14ac:dyDescent="0.35">
      <c r="B104" s="602"/>
      <c r="C104" s="39"/>
      <c r="D104" s="39"/>
      <c r="E104" s="395" t="s">
        <v>75</v>
      </c>
      <c r="F104" s="395" t="s">
        <v>38</v>
      </c>
      <c r="G104" s="268" t="s">
        <v>483</v>
      </c>
      <c r="H104" s="297"/>
      <c r="I104" s="19"/>
      <c r="J104" s="37"/>
      <c r="K104" s="39"/>
      <c r="L104" s="68" t="str">
        <f>C103</f>
        <v xml:space="preserve">   Muut korsirehut</v>
      </c>
      <c r="M104" s="39"/>
      <c r="N104" s="529">
        <f>IF(E$90+H$88=0,0,G103*(1-I$128)/(E$90/H$88)*100)</f>
        <v>0</v>
      </c>
      <c r="O104" s="69">
        <f t="shared" si="24"/>
        <v>0</v>
      </c>
      <c r="R104" s="39"/>
      <c r="S104" s="39"/>
      <c r="T104" s="395" t="s">
        <v>75</v>
      </c>
      <c r="U104" s="395" t="s">
        <v>38</v>
      </c>
      <c r="V104" s="268" t="s">
        <v>483</v>
      </c>
      <c r="W104" s="297"/>
      <c r="X104" s="19"/>
      <c r="Y104" s="37"/>
      <c r="Z104" s="39"/>
      <c r="AA104" s="68" t="str">
        <f>R103</f>
        <v xml:space="preserve">   Muut korsirehut</v>
      </c>
      <c r="AB104" s="39"/>
      <c r="AC104" s="529">
        <f>IF(T$90+W$88=0,0,V103*(1-X$128)/(T$90/W$88)*100)</f>
        <v>0</v>
      </c>
      <c r="AD104" s="69">
        <f t="shared" si="25"/>
        <v>0</v>
      </c>
    </row>
    <row r="105" spans="2:30" x14ac:dyDescent="0.35">
      <c r="B105" s="602"/>
      <c r="C105" s="314" t="s">
        <v>47</v>
      </c>
      <c r="D105" s="315"/>
      <c r="E105" s="36"/>
      <c r="F105" s="22"/>
      <c r="G105" s="269">
        <f t="shared" ref="G105:G113" si="26">E105*F105/H$3</f>
        <v>0</v>
      </c>
      <c r="H105" s="297"/>
      <c r="I105" s="19"/>
      <c r="J105" s="37"/>
      <c r="K105" s="39"/>
      <c r="L105" s="68" t="str">
        <f t="shared" ref="L105:L113" si="27">C105</f>
        <v>Ostorehut</v>
      </c>
      <c r="M105" s="39"/>
      <c r="N105" s="529">
        <f>IF(E$90+H$88=0,0,G105*(1-I$128)/(E$90/H$88)*100)</f>
        <v>0</v>
      </c>
      <c r="O105" s="69">
        <f t="shared" si="24"/>
        <v>0</v>
      </c>
      <c r="R105" s="314" t="s">
        <v>47</v>
      </c>
      <c r="S105" s="315"/>
      <c r="T105" s="36"/>
      <c r="U105" s="22"/>
      <c r="V105" s="269">
        <f t="shared" ref="V105:V113" si="28">T105*U105/W$3</f>
        <v>0</v>
      </c>
      <c r="W105" s="297"/>
      <c r="X105" s="19"/>
      <c r="Y105" s="37"/>
      <c r="Z105" s="39"/>
      <c r="AA105" s="68" t="str">
        <f t="shared" ref="AA105:AA113" si="29">R105</f>
        <v>Ostorehut</v>
      </c>
      <c r="AB105" s="39"/>
      <c r="AC105" s="529">
        <f>IF(T$90+W$88=0,0,V105*(1-X$128)/(T$90/W$88)*100)</f>
        <v>0</v>
      </c>
      <c r="AD105" s="69">
        <f t="shared" si="25"/>
        <v>0</v>
      </c>
    </row>
    <row r="106" spans="2:30" x14ac:dyDescent="0.35">
      <c r="B106" s="602"/>
      <c r="C106" s="877" t="s">
        <v>72</v>
      </c>
      <c r="D106" s="878"/>
      <c r="E106" s="36"/>
      <c r="F106" s="22"/>
      <c r="G106" s="269">
        <f t="shared" si="26"/>
        <v>0</v>
      </c>
      <c r="H106" s="297"/>
      <c r="I106" s="19"/>
      <c r="J106" s="37"/>
      <c r="K106" s="39"/>
      <c r="L106" s="68" t="str">
        <f t="shared" si="27"/>
        <v>Kivennäiset</v>
      </c>
      <c r="M106" s="39"/>
      <c r="N106" s="529">
        <f t="shared" ref="N106:N113" si="30">IF(E$90+H$88=0,0,G106*(1-I$128)/(E$90/H$88)*100)</f>
        <v>0</v>
      </c>
      <c r="O106" s="69">
        <f t="shared" si="24"/>
        <v>0</v>
      </c>
      <c r="R106" s="877" t="s">
        <v>72</v>
      </c>
      <c r="S106" s="878"/>
      <c r="T106" s="36"/>
      <c r="U106" s="22"/>
      <c r="V106" s="269">
        <f t="shared" si="28"/>
        <v>0</v>
      </c>
      <c r="W106" s="297"/>
      <c r="X106" s="19"/>
      <c r="Y106" s="37"/>
      <c r="Z106" s="39"/>
      <c r="AA106" s="68" t="str">
        <f t="shared" si="29"/>
        <v>Kivennäiset</v>
      </c>
      <c r="AB106" s="39"/>
      <c r="AC106" s="529">
        <f t="shared" ref="AC106:AC113" si="31">IF(T$90+W$88=0,0,V106*(1-X$128)/(T$90/W$88)*100)</f>
        <v>0</v>
      </c>
      <c r="AD106" s="69">
        <f t="shared" si="25"/>
        <v>0</v>
      </c>
    </row>
    <row r="107" spans="2:30" x14ac:dyDescent="0.35">
      <c r="B107" s="602"/>
      <c r="C107" s="877" t="s">
        <v>481</v>
      </c>
      <c r="D107" s="878"/>
      <c r="E107" s="36"/>
      <c r="F107" s="22"/>
      <c r="G107" s="269">
        <f t="shared" si="26"/>
        <v>0</v>
      </c>
      <c r="H107" s="297"/>
      <c r="I107" s="19"/>
      <c r="J107" s="37"/>
      <c r="K107" s="39"/>
      <c r="L107" s="68" t="str">
        <f t="shared" si="27"/>
        <v>Lääkintä</v>
      </c>
      <c r="M107" s="39"/>
      <c r="N107" s="529">
        <f t="shared" si="30"/>
        <v>0</v>
      </c>
      <c r="O107" s="69">
        <f t="shared" si="24"/>
        <v>0</v>
      </c>
      <c r="R107" s="877" t="s">
        <v>481</v>
      </c>
      <c r="S107" s="878"/>
      <c r="T107" s="36"/>
      <c r="U107" s="22"/>
      <c r="V107" s="269">
        <f t="shared" si="28"/>
        <v>0</v>
      </c>
      <c r="W107" s="297"/>
      <c r="X107" s="19"/>
      <c r="Y107" s="37"/>
      <c r="Z107" s="39"/>
      <c r="AA107" s="68" t="str">
        <f t="shared" si="29"/>
        <v>Lääkintä</v>
      </c>
      <c r="AB107" s="39"/>
      <c r="AC107" s="529">
        <f t="shared" si="31"/>
        <v>0</v>
      </c>
      <c r="AD107" s="69">
        <f t="shared" si="25"/>
        <v>0</v>
      </c>
    </row>
    <row r="108" spans="2:30" x14ac:dyDescent="0.35">
      <c r="B108" s="602"/>
      <c r="C108" s="877" t="s">
        <v>482</v>
      </c>
      <c r="D108" s="878"/>
      <c r="E108" s="36"/>
      <c r="F108" s="22"/>
      <c r="G108" s="269">
        <f t="shared" si="26"/>
        <v>0</v>
      </c>
      <c r="H108" s="297"/>
      <c r="I108" s="19"/>
      <c r="J108" s="37"/>
      <c r="K108" s="39"/>
      <c r="L108" s="68" t="str">
        <f t="shared" si="27"/>
        <v>Siemennys, jalostus ym.</v>
      </c>
      <c r="M108" s="39"/>
      <c r="N108" s="529">
        <f t="shared" si="30"/>
        <v>0</v>
      </c>
      <c r="O108" s="69">
        <f t="shared" si="24"/>
        <v>0</v>
      </c>
      <c r="R108" s="877" t="s">
        <v>482</v>
      </c>
      <c r="S108" s="878"/>
      <c r="T108" s="36"/>
      <c r="U108" s="22"/>
      <c r="V108" s="269">
        <f t="shared" si="28"/>
        <v>0</v>
      </c>
      <c r="W108" s="297"/>
      <c r="X108" s="19"/>
      <c r="Y108" s="37"/>
      <c r="Z108" s="39"/>
      <c r="AA108" s="68" t="str">
        <f t="shared" si="29"/>
        <v>Siemennys, jalostus ym.</v>
      </c>
      <c r="AB108" s="39"/>
      <c r="AC108" s="529">
        <f t="shared" si="31"/>
        <v>0</v>
      </c>
      <c r="AD108" s="69">
        <f t="shared" si="25"/>
        <v>0</v>
      </c>
    </row>
    <row r="109" spans="2:30" x14ac:dyDescent="0.35">
      <c r="B109" s="602"/>
      <c r="C109" s="877" t="s">
        <v>49</v>
      </c>
      <c r="D109" s="878"/>
      <c r="E109" s="36"/>
      <c r="F109" s="22"/>
      <c r="G109" s="269">
        <f t="shared" si="26"/>
        <v>0</v>
      </c>
      <c r="H109" s="297"/>
      <c r="I109" s="19"/>
      <c r="J109" s="37"/>
      <c r="K109" s="39"/>
      <c r="L109" s="68" t="str">
        <f t="shared" si="27"/>
        <v>Kuivikkeet</v>
      </c>
      <c r="M109" s="39"/>
      <c r="N109" s="529">
        <f t="shared" si="30"/>
        <v>0</v>
      </c>
      <c r="O109" s="69">
        <f t="shared" si="24"/>
        <v>0</v>
      </c>
      <c r="R109" s="877" t="s">
        <v>49</v>
      </c>
      <c r="S109" s="878"/>
      <c r="T109" s="36"/>
      <c r="U109" s="22"/>
      <c r="V109" s="269">
        <f t="shared" si="28"/>
        <v>0</v>
      </c>
      <c r="W109" s="297"/>
      <c r="X109" s="19"/>
      <c r="Y109" s="37"/>
      <c r="Z109" s="39"/>
      <c r="AA109" s="68" t="str">
        <f t="shared" si="29"/>
        <v>Kuivikkeet</v>
      </c>
      <c r="AB109" s="39"/>
      <c r="AC109" s="529">
        <f t="shared" si="31"/>
        <v>0</v>
      </c>
      <c r="AD109" s="69">
        <f t="shared" si="25"/>
        <v>0</v>
      </c>
    </row>
    <row r="110" spans="2:30" x14ac:dyDescent="0.35">
      <c r="B110" s="602"/>
      <c r="C110" s="879" t="s">
        <v>50</v>
      </c>
      <c r="D110" s="875"/>
      <c r="E110" s="36"/>
      <c r="F110" s="22"/>
      <c r="G110" s="269">
        <f t="shared" si="26"/>
        <v>0</v>
      </c>
      <c r="H110" s="297"/>
      <c r="I110" s="19"/>
      <c r="J110" s="37"/>
      <c r="K110" s="39"/>
      <c r="L110" s="282" t="str">
        <f t="shared" si="27"/>
        <v>Muut muuttuvat kustannukset</v>
      </c>
      <c r="M110" s="39"/>
      <c r="N110" s="529">
        <f t="shared" si="30"/>
        <v>0</v>
      </c>
      <c r="O110" s="69">
        <f t="shared" si="24"/>
        <v>0</v>
      </c>
      <c r="R110" s="879" t="s">
        <v>50</v>
      </c>
      <c r="S110" s="875"/>
      <c r="T110" s="36"/>
      <c r="U110" s="22"/>
      <c r="V110" s="269">
        <f t="shared" si="28"/>
        <v>0</v>
      </c>
      <c r="W110" s="297"/>
      <c r="X110" s="19"/>
      <c r="Y110" s="37"/>
      <c r="Z110" s="39"/>
      <c r="AA110" s="282" t="str">
        <f t="shared" si="29"/>
        <v>Muut muuttuvat kustannukset</v>
      </c>
      <c r="AB110" s="39"/>
      <c r="AC110" s="529">
        <f t="shared" si="31"/>
        <v>0</v>
      </c>
      <c r="AD110" s="69">
        <f t="shared" si="25"/>
        <v>0</v>
      </c>
    </row>
    <row r="111" spans="2:30" x14ac:dyDescent="0.35">
      <c r="B111" s="602"/>
      <c r="C111" s="877" t="s">
        <v>51</v>
      </c>
      <c r="D111" s="878"/>
      <c r="E111" s="36"/>
      <c r="F111" s="22"/>
      <c r="G111" s="269">
        <f t="shared" si="26"/>
        <v>0</v>
      </c>
      <c r="H111" s="297"/>
      <c r="I111" s="19"/>
      <c r="J111" s="37"/>
      <c r="K111" s="39"/>
      <c r="L111" s="68" t="str">
        <f t="shared" si="27"/>
        <v>Eläinten ostot</v>
      </c>
      <c r="M111" s="39"/>
      <c r="N111" s="529">
        <f t="shared" si="30"/>
        <v>0</v>
      </c>
      <c r="O111" s="69">
        <f t="shared" si="24"/>
        <v>0</v>
      </c>
      <c r="R111" s="877" t="s">
        <v>51</v>
      </c>
      <c r="S111" s="878"/>
      <c r="T111" s="36"/>
      <c r="U111" s="22"/>
      <c r="V111" s="269">
        <f t="shared" si="28"/>
        <v>0</v>
      </c>
      <c r="W111" s="297"/>
      <c r="X111" s="19"/>
      <c r="Y111" s="37"/>
      <c r="Z111" s="39"/>
      <c r="AA111" s="68" t="str">
        <f t="shared" si="29"/>
        <v>Eläinten ostot</v>
      </c>
      <c r="AB111" s="39"/>
      <c r="AC111" s="529">
        <f t="shared" si="31"/>
        <v>0</v>
      </c>
      <c r="AD111" s="69">
        <f t="shared" si="25"/>
        <v>0</v>
      </c>
    </row>
    <row r="112" spans="2:30" x14ac:dyDescent="0.35">
      <c r="B112" s="602"/>
      <c r="C112" s="291" t="s">
        <v>52</v>
      </c>
      <c r="D112" s="36"/>
      <c r="E112" s="36"/>
      <c r="F112" s="22"/>
      <c r="G112" s="269">
        <f t="shared" si="26"/>
        <v>0</v>
      </c>
      <c r="H112" s="297"/>
      <c r="I112" s="19"/>
      <c r="J112" s="37"/>
      <c r="K112" s="39"/>
      <c r="L112" s="68" t="str">
        <f t="shared" si="27"/>
        <v>Eläinpääoman korko</v>
      </c>
      <c r="M112" s="55"/>
      <c r="N112" s="529">
        <f t="shared" si="30"/>
        <v>0</v>
      </c>
      <c r="O112" s="69">
        <f t="shared" si="24"/>
        <v>0</v>
      </c>
      <c r="R112" s="291" t="s">
        <v>52</v>
      </c>
      <c r="S112" s="36"/>
      <c r="T112" s="36"/>
      <c r="U112" s="22"/>
      <c r="V112" s="269">
        <f t="shared" si="28"/>
        <v>0</v>
      </c>
      <c r="W112" s="297"/>
      <c r="X112" s="19"/>
      <c r="Y112" s="37"/>
      <c r="Z112" s="39"/>
      <c r="AA112" s="68" t="str">
        <f t="shared" si="29"/>
        <v>Eläinpääoman korko</v>
      </c>
      <c r="AB112" s="55"/>
      <c r="AC112" s="529">
        <f t="shared" si="31"/>
        <v>0</v>
      </c>
      <c r="AD112" s="69">
        <f t="shared" si="25"/>
        <v>0</v>
      </c>
    </row>
    <row r="113" spans="2:30" x14ac:dyDescent="0.35">
      <c r="B113" s="602"/>
      <c r="C113" s="291" t="s">
        <v>53</v>
      </c>
      <c r="D113" s="36"/>
      <c r="E113" s="36"/>
      <c r="F113" s="22"/>
      <c r="G113" s="269">
        <f t="shared" si="26"/>
        <v>0</v>
      </c>
      <c r="H113" s="297"/>
      <c r="I113" s="22">
        <v>0.6</v>
      </c>
      <c r="J113" s="37"/>
      <c r="K113" s="39"/>
      <c r="L113" s="68" t="str">
        <f t="shared" si="27"/>
        <v>Liikepääoman korko</v>
      </c>
      <c r="M113" s="73"/>
      <c r="N113" s="529">
        <f t="shared" si="30"/>
        <v>0</v>
      </c>
      <c r="O113" s="69">
        <f t="shared" si="24"/>
        <v>0</v>
      </c>
      <c r="R113" s="291" t="s">
        <v>53</v>
      </c>
      <c r="S113" s="36"/>
      <c r="T113" s="36"/>
      <c r="U113" s="22"/>
      <c r="V113" s="269">
        <f t="shared" si="28"/>
        <v>0</v>
      </c>
      <c r="W113" s="297"/>
      <c r="X113" s="22">
        <v>0.6</v>
      </c>
      <c r="Y113" s="37"/>
      <c r="Z113" s="39"/>
      <c r="AA113" s="68" t="str">
        <f t="shared" si="29"/>
        <v>Liikepääoman korko</v>
      </c>
      <c r="AB113" s="73"/>
      <c r="AC113" s="529">
        <f t="shared" si="31"/>
        <v>0</v>
      </c>
      <c r="AD113" s="69">
        <f t="shared" si="25"/>
        <v>0</v>
      </c>
    </row>
    <row r="114" spans="2:30" x14ac:dyDescent="0.35">
      <c r="B114" s="602"/>
      <c r="C114" s="19"/>
      <c r="D114" s="19"/>
      <c r="E114" s="19"/>
      <c r="F114" s="19"/>
      <c r="G114" s="273"/>
      <c r="H114" s="297"/>
      <c r="I114" s="19"/>
      <c r="J114" s="37"/>
      <c r="K114" s="39"/>
      <c r="L114" s="39"/>
      <c r="M114" s="39"/>
      <c r="N114" s="529"/>
      <c r="O114" s="39"/>
      <c r="R114" s="19"/>
      <c r="S114" s="19"/>
      <c r="T114" s="19"/>
      <c r="U114" s="19"/>
      <c r="V114" s="273"/>
      <c r="W114" s="297"/>
      <c r="X114" s="19"/>
      <c r="Y114" s="37"/>
      <c r="Z114" s="39"/>
      <c r="AA114" s="39"/>
      <c r="AB114" s="39"/>
      <c r="AC114" s="529"/>
      <c r="AD114" s="39"/>
    </row>
    <row r="115" spans="2:30" ht="15.5" x14ac:dyDescent="0.35">
      <c r="B115" s="602"/>
      <c r="C115" s="51" t="s">
        <v>54</v>
      </c>
      <c r="D115" s="74" t="s">
        <v>55</v>
      </c>
      <c r="E115" s="54" t="s">
        <v>20</v>
      </c>
      <c r="F115" s="316" t="s">
        <v>38</v>
      </c>
      <c r="G115" s="268" t="s">
        <v>483</v>
      </c>
      <c r="H115" s="34" t="s">
        <v>466</v>
      </c>
      <c r="I115" s="34" t="s">
        <v>512</v>
      </c>
      <c r="J115" s="37"/>
      <c r="K115" s="61" t="s">
        <v>54</v>
      </c>
      <c r="L115" s="39"/>
      <c r="M115" s="39"/>
      <c r="N115" s="383">
        <f>SUM(N116:N117)</f>
        <v>0</v>
      </c>
      <c r="O115" s="63">
        <f t="shared" si="24"/>
        <v>0</v>
      </c>
      <c r="R115" s="51" t="s">
        <v>54</v>
      </c>
      <c r="S115" s="74" t="s">
        <v>55</v>
      </c>
      <c r="T115" s="54" t="s">
        <v>20</v>
      </c>
      <c r="U115" s="316" t="s">
        <v>38</v>
      </c>
      <c r="V115" s="268" t="s">
        <v>483</v>
      </c>
      <c r="W115" s="34" t="s">
        <v>466</v>
      </c>
      <c r="X115" s="34" t="s">
        <v>512</v>
      </c>
      <c r="Y115" s="37"/>
      <c r="Z115" s="61" t="s">
        <v>54</v>
      </c>
      <c r="AA115" s="39"/>
      <c r="AB115" s="39"/>
      <c r="AC115" s="383">
        <f>SUM(AC116:AC117)</f>
        <v>0</v>
      </c>
      <c r="AD115" s="63">
        <f t="shared" si="25"/>
        <v>0</v>
      </c>
    </row>
    <row r="116" spans="2:30" x14ac:dyDescent="0.35">
      <c r="B116" s="602"/>
      <c r="C116" s="17" t="s">
        <v>56</v>
      </c>
      <c r="D116" s="215"/>
      <c r="E116" s="36"/>
      <c r="F116" s="22"/>
      <c r="G116" s="269">
        <f>E116*F116/H$3</f>
        <v>0</v>
      </c>
      <c r="H116" s="124">
        <f>'Säilörehun tuotantokustannus'!$P$26</f>
        <v>17</v>
      </c>
      <c r="I116" s="215">
        <f>IF(H116=0,0,G116/H116)</f>
        <v>0</v>
      </c>
      <c r="J116" s="37"/>
      <c r="K116" s="39"/>
      <c r="L116" s="39" t="s">
        <v>243</v>
      </c>
      <c r="M116" s="39"/>
      <c r="N116" s="529">
        <f>IF(E$90+H$88=0,0,G116*(1-I$128)/(E$90/H$88)*100)</f>
        <v>0</v>
      </c>
      <c r="O116" s="69">
        <f t="shared" si="24"/>
        <v>0</v>
      </c>
      <c r="R116" s="17" t="s">
        <v>56</v>
      </c>
      <c r="S116" s="215"/>
      <c r="T116" s="36"/>
      <c r="U116" s="22"/>
      <c r="V116" s="269">
        <f>T116*U116/W$3</f>
        <v>0</v>
      </c>
      <c r="W116" s="124">
        <f>'Säilörehun tuotantokustannus'!$P$26</f>
        <v>17</v>
      </c>
      <c r="X116" s="215">
        <f>IF(W116=0,0,V116/W116)</f>
        <v>0</v>
      </c>
      <c r="Y116" s="37"/>
      <c r="Z116" s="39"/>
      <c r="AA116" s="39" t="s">
        <v>243</v>
      </c>
      <c r="AB116" s="39"/>
      <c r="AC116" s="529">
        <f>IF(T$90+W$88=0,0,V116*(1-X$128)/(T$90/W$88)*100)</f>
        <v>0</v>
      </c>
      <c r="AD116" s="69">
        <f t="shared" si="25"/>
        <v>0</v>
      </c>
    </row>
    <row r="117" spans="2:30" x14ac:dyDescent="0.35">
      <c r="B117" s="602"/>
      <c r="C117" s="17" t="s">
        <v>61</v>
      </c>
      <c r="D117" s="215"/>
      <c r="E117" s="36"/>
      <c r="F117" s="22"/>
      <c r="G117" s="269">
        <f>E117*F117/H$3</f>
        <v>0</v>
      </c>
      <c r="H117" s="124">
        <f>'Säilörehun tuotantokustannus'!$P$27</f>
        <v>15</v>
      </c>
      <c r="I117" s="215">
        <f>IF(H117=0,0,G117/H117)</f>
        <v>0</v>
      </c>
      <c r="J117" s="37"/>
      <c r="K117" s="39"/>
      <c r="L117" s="39" t="s">
        <v>62</v>
      </c>
      <c r="M117" s="39"/>
      <c r="N117" s="529">
        <f>IF(E$90+H$88=0,0,G117*(1-I$128)/(E$90/H$88)*100)</f>
        <v>0</v>
      </c>
      <c r="O117" s="69">
        <f t="shared" si="24"/>
        <v>0</v>
      </c>
      <c r="R117" s="17" t="s">
        <v>61</v>
      </c>
      <c r="S117" s="215"/>
      <c r="T117" s="36"/>
      <c r="U117" s="22"/>
      <c r="V117" s="269">
        <f>T117*U117/W$3</f>
        <v>0</v>
      </c>
      <c r="W117" s="124">
        <f>'Säilörehun tuotantokustannus'!$P$27</f>
        <v>15</v>
      </c>
      <c r="X117" s="215">
        <f>IF(W117=0,0,V117/W117)</f>
        <v>0</v>
      </c>
      <c r="Y117" s="37"/>
      <c r="Z117" s="39"/>
      <c r="AA117" s="39" t="s">
        <v>62</v>
      </c>
      <c r="AB117" s="39"/>
      <c r="AC117" s="529">
        <f>IF(T$90+W$88=0,0,V117*(1-X$128)/(T$90/W$88)*100)</f>
        <v>0</v>
      </c>
      <c r="AD117" s="69">
        <f t="shared" si="25"/>
        <v>0</v>
      </c>
    </row>
    <row r="118" spans="2:30" x14ac:dyDescent="0.35">
      <c r="B118" s="602"/>
      <c r="C118" s="19"/>
      <c r="D118" s="19"/>
      <c r="E118" s="19"/>
      <c r="F118" s="19"/>
      <c r="G118" s="273"/>
      <c r="H118" s="297"/>
      <c r="I118" s="19"/>
      <c r="J118" s="37"/>
      <c r="K118" s="39"/>
      <c r="L118" s="39"/>
      <c r="M118" s="39"/>
      <c r="N118" s="529"/>
      <c r="O118" s="39"/>
      <c r="R118" s="19"/>
      <c r="S118" s="19"/>
      <c r="T118" s="19"/>
      <c r="U118" s="19"/>
      <c r="V118" s="273"/>
      <c r="W118" s="297"/>
      <c r="X118" s="19"/>
      <c r="Y118" s="37"/>
      <c r="Z118" s="39"/>
      <c r="AA118" s="39"/>
      <c r="AB118" s="39"/>
      <c r="AC118" s="529"/>
      <c r="AD118" s="39"/>
    </row>
    <row r="119" spans="2:30" ht="16" thickBot="1" x14ac:dyDescent="0.4">
      <c r="B119" s="602"/>
      <c r="C119" s="51" t="s">
        <v>63</v>
      </c>
      <c r="D119" s="19"/>
      <c r="E119" s="19"/>
      <c r="F119" s="20"/>
      <c r="G119" s="391"/>
      <c r="H119" s="297"/>
      <c r="I119" s="19"/>
      <c r="J119" s="37"/>
      <c r="K119" s="39"/>
      <c r="L119" s="39"/>
      <c r="M119" s="39"/>
      <c r="N119" s="529"/>
      <c r="O119" s="39"/>
      <c r="R119" s="51" t="s">
        <v>63</v>
      </c>
      <c r="S119" s="19"/>
      <c r="T119" s="19"/>
      <c r="U119" s="20"/>
      <c r="V119" s="391"/>
      <c r="W119" s="297"/>
      <c r="X119" s="19"/>
      <c r="Y119" s="37"/>
      <c r="Z119" s="39"/>
      <c r="AA119" s="39"/>
      <c r="AB119" s="39"/>
      <c r="AC119" s="529"/>
      <c r="AD119" s="39"/>
    </row>
    <row r="120" spans="2:30" ht="15" thickTop="1" x14ac:dyDescent="0.35">
      <c r="B120" s="602"/>
      <c r="C120" s="277" t="s">
        <v>64</v>
      </c>
      <c r="D120" s="292" t="s">
        <v>65</v>
      </c>
      <c r="E120" s="395" t="s">
        <v>20</v>
      </c>
      <c r="F120" s="395" t="s">
        <v>38</v>
      </c>
      <c r="G120" s="268" t="s">
        <v>483</v>
      </c>
      <c r="H120" s="297"/>
      <c r="I120" s="34" t="s">
        <v>470</v>
      </c>
      <c r="J120" s="37"/>
      <c r="K120" s="61" t="s">
        <v>63</v>
      </c>
      <c r="L120" s="39"/>
      <c r="M120" s="39"/>
      <c r="N120" s="383">
        <f>SUM(N121:N125)</f>
        <v>0</v>
      </c>
      <c r="O120" s="63">
        <f t="shared" si="24"/>
        <v>0</v>
      </c>
      <c r="R120" s="277" t="s">
        <v>64</v>
      </c>
      <c r="S120" s="292" t="s">
        <v>65</v>
      </c>
      <c r="T120" s="395" t="s">
        <v>20</v>
      </c>
      <c r="U120" s="395" t="s">
        <v>38</v>
      </c>
      <c r="V120" s="268" t="s">
        <v>483</v>
      </c>
      <c r="W120" s="297"/>
      <c r="X120" s="34" t="s">
        <v>470</v>
      </c>
      <c r="Y120" s="37"/>
      <c r="Z120" s="61" t="s">
        <v>63</v>
      </c>
      <c r="AA120" s="39"/>
      <c r="AB120" s="39"/>
      <c r="AC120" s="383">
        <f>SUM(AC121:AC125)</f>
        <v>0</v>
      </c>
      <c r="AD120" s="63">
        <f t="shared" si="25"/>
        <v>0</v>
      </c>
    </row>
    <row r="121" spans="2:30" x14ac:dyDescent="0.35">
      <c r="B121" s="602"/>
      <c r="C121" s="278" t="s">
        <v>66</v>
      </c>
      <c r="D121" s="317"/>
      <c r="E121" s="16"/>
      <c r="F121" s="22"/>
      <c r="G121" s="269">
        <f>E121*F121/H$3</f>
        <v>0</v>
      </c>
      <c r="H121" s="297"/>
      <c r="I121" s="320">
        <v>0.03</v>
      </c>
      <c r="J121" s="37"/>
      <c r="K121" s="39"/>
      <c r="L121" s="39" t="s">
        <v>67</v>
      </c>
      <c r="M121" s="39"/>
      <c r="N121" s="529">
        <f>IF(E$90+H$88=0,0,G121*(1-I$128)/(E$90/H$88)*100)</f>
        <v>0</v>
      </c>
      <c r="O121" s="69">
        <f t="shared" si="24"/>
        <v>0</v>
      </c>
      <c r="R121" s="278" t="s">
        <v>66</v>
      </c>
      <c r="S121" s="317"/>
      <c r="T121" s="16"/>
      <c r="U121" s="22"/>
      <c r="V121" s="269">
        <f>T121*U121/W$3</f>
        <v>0</v>
      </c>
      <c r="W121" s="297"/>
      <c r="X121" s="320">
        <v>0.03</v>
      </c>
      <c r="Y121" s="37"/>
      <c r="Z121" s="39"/>
      <c r="AA121" s="39" t="s">
        <v>67</v>
      </c>
      <c r="AB121" s="39"/>
      <c r="AC121" s="529">
        <f>IF(T$90+W$88=0,0,V121*(1-X$128)/(T$90/W$88)*100)</f>
        <v>0</v>
      </c>
      <c r="AD121" s="69">
        <f t="shared" si="25"/>
        <v>0</v>
      </c>
    </row>
    <row r="122" spans="2:30" ht="15" thickBot="1" x14ac:dyDescent="0.4">
      <c r="B122" s="602"/>
      <c r="C122" s="279" t="s">
        <v>68</v>
      </c>
      <c r="D122" s="318"/>
      <c r="E122" s="16"/>
      <c r="F122" s="22"/>
      <c r="G122" s="269">
        <f>E122*F122/H$3</f>
        <v>0</v>
      </c>
      <c r="H122" s="297"/>
      <c r="I122" s="320">
        <v>0.01</v>
      </c>
      <c r="J122" s="37"/>
      <c r="K122" s="39"/>
      <c r="L122" s="39" t="s">
        <v>69</v>
      </c>
      <c r="M122" s="39"/>
      <c r="N122" s="529">
        <f>IF(E$90+H$88=0,0,G122*(1-I$128)/(E$90/H$88)*100)</f>
        <v>0</v>
      </c>
      <c r="O122" s="69">
        <f t="shared" si="24"/>
        <v>0</v>
      </c>
      <c r="R122" s="279" t="s">
        <v>68</v>
      </c>
      <c r="S122" s="318"/>
      <c r="T122" s="16"/>
      <c r="U122" s="22"/>
      <c r="V122" s="269">
        <f>T122*U122/W$3</f>
        <v>0</v>
      </c>
      <c r="W122" s="297"/>
      <c r="X122" s="320">
        <v>0.01</v>
      </c>
      <c r="Y122" s="37"/>
      <c r="Z122" s="39"/>
      <c r="AA122" s="39" t="s">
        <v>69</v>
      </c>
      <c r="AB122" s="39"/>
      <c r="AC122" s="529">
        <f>IF(T$90+W$88=0,0,V122*(1-X$128)/(T$90/W$88)*100)</f>
        <v>0</v>
      </c>
      <c r="AD122" s="69">
        <f t="shared" si="25"/>
        <v>0</v>
      </c>
    </row>
    <row r="123" spans="2:30" ht="15" thickTop="1" x14ac:dyDescent="0.35">
      <c r="B123" s="602"/>
      <c r="C123" s="276" t="s">
        <v>71</v>
      </c>
      <c r="D123" s="96"/>
      <c r="E123" s="36"/>
      <c r="F123" s="22"/>
      <c r="G123" s="269">
        <f>E123*F123</f>
        <v>0</v>
      </c>
      <c r="H123" s="297"/>
      <c r="I123" s="36">
        <f>(D122*I122+D121*I121)/H$3</f>
        <v>0</v>
      </c>
      <c r="J123" s="37"/>
      <c r="K123" s="39"/>
      <c r="L123" s="39" t="s">
        <v>71</v>
      </c>
      <c r="M123" s="39"/>
      <c r="N123" s="529">
        <f>IF(E$90+H$88=0,0,G123*(1-I$128)/(E$90/H$88)*100)</f>
        <v>0</v>
      </c>
      <c r="O123" s="69">
        <f t="shared" si="24"/>
        <v>0</v>
      </c>
      <c r="R123" s="276" t="s">
        <v>71</v>
      </c>
      <c r="S123" s="96"/>
      <c r="T123" s="36"/>
      <c r="U123" s="22"/>
      <c r="V123" s="269">
        <f>T123*U123</f>
        <v>0</v>
      </c>
      <c r="W123" s="297"/>
      <c r="X123" s="36">
        <f>(S122*X122+S121*X121)/W$3</f>
        <v>0</v>
      </c>
      <c r="Y123" s="37"/>
      <c r="Z123" s="39"/>
      <c r="AA123" s="39" t="s">
        <v>71</v>
      </c>
      <c r="AB123" s="39"/>
      <c r="AC123" s="529">
        <f>IF(T$90+W$88=0,0,V123*(1-X$128)/(T$90/W$88)*100)</f>
        <v>0</v>
      </c>
      <c r="AD123" s="69">
        <f t="shared" si="25"/>
        <v>0</v>
      </c>
    </row>
    <row r="124" spans="2:30" x14ac:dyDescent="0.35">
      <c r="B124" s="602"/>
      <c r="C124" s="14" t="s">
        <v>73</v>
      </c>
      <c r="D124" s="36"/>
      <c r="E124" s="16"/>
      <c r="F124" s="22"/>
      <c r="G124" s="269">
        <f>E124*F124</f>
        <v>0</v>
      </c>
      <c r="H124" s="297"/>
      <c r="I124" s="22">
        <v>0.05</v>
      </c>
      <c r="J124" s="37"/>
      <c r="K124" s="39"/>
      <c r="L124" s="39" t="s">
        <v>73</v>
      </c>
      <c r="M124" s="39"/>
      <c r="N124" s="529">
        <f>IF(E$90+H$88=0,0,G124*(1-I$128)/(E$90/H$88)*100)</f>
        <v>0</v>
      </c>
      <c r="O124" s="69">
        <f t="shared" si="24"/>
        <v>0</v>
      </c>
      <c r="R124" s="14" t="s">
        <v>73</v>
      </c>
      <c r="S124" s="36"/>
      <c r="T124" s="16"/>
      <c r="U124" s="22"/>
      <c r="V124" s="269">
        <f>T124*U124</f>
        <v>0</v>
      </c>
      <c r="W124" s="297"/>
      <c r="X124" s="22">
        <v>0.05</v>
      </c>
      <c r="Y124" s="37"/>
      <c r="Z124" s="39"/>
      <c r="AA124" s="39" t="s">
        <v>73</v>
      </c>
      <c r="AB124" s="39"/>
      <c r="AC124" s="529">
        <f>IF(T$90+W$88=0,0,V124*(1-X$128)/(T$90/W$88)*100)</f>
        <v>0</v>
      </c>
      <c r="AD124" s="69">
        <f t="shared" si="25"/>
        <v>0</v>
      </c>
    </row>
    <row r="125" spans="2:30" x14ac:dyDescent="0.35">
      <c r="B125" s="602"/>
      <c r="C125" s="14" t="s">
        <v>74</v>
      </c>
      <c r="D125" s="36"/>
      <c r="E125" s="36"/>
      <c r="F125" s="22"/>
      <c r="G125" s="269">
        <f>E125*F125</f>
        <v>0</v>
      </c>
      <c r="H125" s="297"/>
      <c r="I125" s="22">
        <v>0.06</v>
      </c>
      <c r="J125" s="37"/>
      <c r="K125" s="39"/>
      <c r="L125" s="39" t="s">
        <v>74</v>
      </c>
      <c r="M125" s="39"/>
      <c r="N125" s="529">
        <f>IF(E$90+H$88=0,0,G125*(1-I$128)/(E$90/H$88)*100)</f>
        <v>0</v>
      </c>
      <c r="O125" s="69">
        <f t="shared" si="24"/>
        <v>0</v>
      </c>
      <c r="R125" s="14" t="s">
        <v>74</v>
      </c>
      <c r="S125" s="36"/>
      <c r="T125" s="36"/>
      <c r="U125" s="22"/>
      <c r="V125" s="269">
        <f>T125*U125</f>
        <v>0</v>
      </c>
      <c r="W125" s="297"/>
      <c r="X125" s="22">
        <v>0.06</v>
      </c>
      <c r="Y125" s="37"/>
      <c r="Z125" s="39"/>
      <c r="AA125" s="39" t="s">
        <v>74</v>
      </c>
      <c r="AB125" s="39"/>
      <c r="AC125" s="529">
        <f>IF(T$90+W$88=0,0,V125*(1-X$128)/(T$90/W$88)*100)</f>
        <v>0</v>
      </c>
      <c r="AD125" s="69">
        <f t="shared" si="25"/>
        <v>0</v>
      </c>
    </row>
    <row r="126" spans="2:30" ht="15" thickBot="1" x14ac:dyDescent="0.4">
      <c r="B126" s="602"/>
      <c r="C126" s="39"/>
      <c r="D126" s="39"/>
      <c r="E126" s="39"/>
      <c r="F126" s="39"/>
      <c r="G126" s="89"/>
      <c r="H126" s="298"/>
      <c r="I126" s="39"/>
      <c r="J126" s="37"/>
      <c r="K126" s="39"/>
      <c r="L126" s="39"/>
      <c r="M126" s="39"/>
      <c r="N126" s="529"/>
      <c r="O126" s="39"/>
      <c r="Q126" s="80"/>
      <c r="R126" s="39"/>
      <c r="S126" s="39"/>
      <c r="T126" s="39"/>
      <c r="U126" s="39"/>
      <c r="V126" s="89"/>
      <c r="W126" s="298"/>
      <c r="X126" s="39"/>
      <c r="Y126" s="37"/>
      <c r="Z126" s="39"/>
      <c r="AA126" s="39"/>
      <c r="AB126" s="39"/>
      <c r="AC126" s="529"/>
      <c r="AD126" s="39"/>
    </row>
    <row r="127" spans="2:30" ht="15" thickBot="1" x14ac:dyDescent="0.4">
      <c r="B127" s="602"/>
      <c r="C127" s="39"/>
      <c r="D127" s="39"/>
      <c r="E127" s="39"/>
      <c r="F127" s="56" t="s">
        <v>485</v>
      </c>
      <c r="G127" s="271">
        <f>SUM(G99:G125)</f>
        <v>0</v>
      </c>
      <c r="H127" s="298"/>
      <c r="I127" s="39"/>
      <c r="J127" s="37"/>
      <c r="K127" s="61" t="s">
        <v>670</v>
      </c>
      <c r="L127" s="77"/>
      <c r="N127" s="383">
        <f>SUM(N100:N114,N116:N118,N121:N126)</f>
        <v>0</v>
      </c>
      <c r="O127" s="39"/>
      <c r="R127" s="39"/>
      <c r="S127" s="39"/>
      <c r="T127" s="39"/>
      <c r="U127" s="56" t="s">
        <v>485</v>
      </c>
      <c r="V127" s="271">
        <f>SUM(V99:V125)</f>
        <v>0</v>
      </c>
      <c r="W127" s="298"/>
      <c r="X127" s="39"/>
      <c r="Y127" s="37"/>
      <c r="Z127" s="61" t="s">
        <v>670</v>
      </c>
      <c r="AA127" s="77"/>
      <c r="AC127" s="383">
        <f>SUM(AC100:AC114,AC116:AC118,AC121:AC126)</f>
        <v>0</v>
      </c>
      <c r="AD127" s="39"/>
    </row>
    <row r="128" spans="2:30" ht="15" thickBot="1" x14ac:dyDescent="0.4">
      <c r="B128" s="602"/>
      <c r="C128" s="39"/>
      <c r="D128" s="39"/>
      <c r="E128" s="39"/>
      <c r="F128" s="56" t="s">
        <v>511</v>
      </c>
      <c r="G128" s="392">
        <f>SUM(G91:G92)</f>
        <v>0</v>
      </c>
      <c r="H128" s="298"/>
      <c r="I128" s="381">
        <f>IF(G94=0,0,G128/G94)</f>
        <v>0</v>
      </c>
      <c r="J128" s="37"/>
      <c r="K128" s="61"/>
      <c r="L128" s="384" t="s">
        <v>671</v>
      </c>
      <c r="M128" s="127"/>
      <c r="N128" s="404"/>
      <c r="O128" s="37"/>
      <c r="R128" s="39"/>
      <c r="S128" s="39"/>
      <c r="T128" s="39"/>
      <c r="U128" s="56" t="s">
        <v>511</v>
      </c>
      <c r="V128" s="392">
        <f>SUM(V91:V92)</f>
        <v>0</v>
      </c>
      <c r="W128" s="298"/>
      <c r="X128" s="381">
        <f>IF(V94=0,0,V128/V94)</f>
        <v>0</v>
      </c>
      <c r="Y128" s="37"/>
      <c r="Z128" s="61"/>
      <c r="AA128" s="384" t="s">
        <v>671</v>
      </c>
      <c r="AB128" s="127"/>
      <c r="AC128" s="404"/>
      <c r="AD128" s="37"/>
    </row>
    <row r="129" spans="1:31" ht="15" thickBot="1" x14ac:dyDescent="0.4">
      <c r="B129" s="602"/>
      <c r="C129" s="39"/>
      <c r="D129" s="39"/>
      <c r="E129" s="39"/>
      <c r="F129" s="56" t="s">
        <v>509</v>
      </c>
      <c r="G129" s="271">
        <f>G127-G128</f>
        <v>0</v>
      </c>
      <c r="H129" s="379"/>
      <c r="I129" s="380"/>
      <c r="J129" s="37"/>
      <c r="K129" s="61"/>
      <c r="L129" s="384" t="s">
        <v>507</v>
      </c>
      <c r="M129" s="127"/>
      <c r="N129" s="404">
        <f>N127-N100+I99</f>
        <v>0</v>
      </c>
      <c r="O129" s="37"/>
      <c r="R129" s="39"/>
      <c r="S129" s="39"/>
      <c r="T129" s="39"/>
      <c r="U129" s="56" t="s">
        <v>509</v>
      </c>
      <c r="V129" s="271">
        <f>V127-V128</f>
        <v>0</v>
      </c>
      <c r="W129" s="379"/>
      <c r="X129" s="380"/>
      <c r="Y129" s="37"/>
      <c r="Z129" s="61"/>
      <c r="AA129" s="384" t="s">
        <v>507</v>
      </c>
      <c r="AB129" s="127"/>
      <c r="AC129" s="404">
        <f>AC127-AC100+X99</f>
        <v>0</v>
      </c>
      <c r="AD129" s="37"/>
    </row>
    <row r="130" spans="1:31" x14ac:dyDescent="0.35">
      <c r="B130" s="602"/>
      <c r="C130" s="39"/>
      <c r="D130" s="39"/>
      <c r="E130" s="39"/>
      <c r="F130" s="39"/>
      <c r="G130" s="39"/>
      <c r="H130" s="39"/>
      <c r="I130" s="39"/>
      <c r="J130" s="37"/>
      <c r="K130" s="61"/>
      <c r="L130" s="37" t="str">
        <f>CONCATENATE('Säilörehun tuotantokustannus'!$N$5," €/kg ka eli ",I99," snt/tuotettu liha-kg")</f>
        <v>0,12 €/kg ka eli 0 snt/tuotettu liha-kg</v>
      </c>
      <c r="M130" s="37"/>
      <c r="N130" s="386"/>
      <c r="O130" s="37"/>
      <c r="R130" s="39"/>
      <c r="S130" s="39"/>
      <c r="T130" s="39"/>
      <c r="U130" s="39"/>
      <c r="V130" s="39"/>
      <c r="W130" s="39"/>
      <c r="X130" s="39"/>
      <c r="Y130" s="37"/>
      <c r="Z130" s="61"/>
      <c r="AA130" s="37" t="str">
        <f>CONCATENATE('Säilörehun tuotantokustannus'!$N$5," €/kg ka eli ",X99," snt/tuotettu liha-kg")</f>
        <v>0,12 €/kg ka eli 0 snt/tuotettu liha-kg</v>
      </c>
      <c r="AB130" s="37"/>
      <c r="AC130" s="386"/>
      <c r="AD130" s="37"/>
    </row>
    <row r="131" spans="1:31" x14ac:dyDescent="0.35">
      <c r="B131" s="602"/>
      <c r="C131" s="39"/>
      <c r="D131" s="39"/>
      <c r="E131" s="39"/>
      <c r="F131" s="39"/>
      <c r="G131" s="39"/>
      <c r="H131" s="39"/>
      <c r="I131" s="39"/>
      <c r="J131" s="37"/>
      <c r="K131" s="61"/>
      <c r="L131" s="77"/>
      <c r="M131" s="77"/>
      <c r="N131" s="62"/>
      <c r="O131" s="39"/>
      <c r="R131" s="39"/>
      <c r="S131" s="39"/>
      <c r="T131" s="39"/>
      <c r="U131" s="39"/>
      <c r="V131" s="39"/>
      <c r="W131" s="39"/>
      <c r="X131" s="39"/>
      <c r="Y131" s="37"/>
      <c r="Z131" s="61"/>
      <c r="AA131" s="77"/>
      <c r="AB131" s="77"/>
      <c r="AC131" s="62"/>
      <c r="AD131" s="39"/>
    </row>
    <row r="132" spans="1:31" s="396" customFormat="1" ht="27" customHeight="1" x14ac:dyDescent="0.35">
      <c r="A132" s="80"/>
      <c r="B132" s="80"/>
      <c r="C132" s="49"/>
      <c r="D132" s="49"/>
      <c r="E132" s="49"/>
      <c r="F132" s="49"/>
      <c r="G132" s="49"/>
      <c r="H132" s="49"/>
      <c r="I132" s="49"/>
      <c r="J132" s="80"/>
      <c r="K132" s="49"/>
      <c r="L132" s="49"/>
      <c r="M132" s="49"/>
      <c r="N132" s="49"/>
      <c r="O132" s="49"/>
      <c r="P132" s="49"/>
      <c r="Q132" s="80"/>
      <c r="R132" s="49"/>
      <c r="S132" s="49"/>
      <c r="T132" s="49"/>
      <c r="U132" s="49"/>
      <c r="V132" s="49"/>
      <c r="W132" s="49"/>
      <c r="X132" s="49"/>
      <c r="Y132" s="80"/>
      <c r="Z132" s="49"/>
      <c r="AA132" s="49"/>
      <c r="AB132" s="49"/>
      <c r="AC132" s="49"/>
      <c r="AD132" s="49"/>
      <c r="AE132" s="49"/>
    </row>
    <row r="133" spans="1:31" ht="27" customHeight="1" x14ac:dyDescent="0.35">
      <c r="A133" s="306"/>
      <c r="B133" s="604"/>
      <c r="C133" s="417"/>
      <c r="D133" s="417"/>
      <c r="E133" s="417"/>
      <c r="F133" s="605" t="s">
        <v>543</v>
      </c>
      <c r="G133" s="606" t="s">
        <v>41</v>
      </c>
      <c r="H133" s="604"/>
      <c r="I133" s="604"/>
      <c r="J133" s="604"/>
      <c r="K133" s="604"/>
      <c r="L133" s="604"/>
      <c r="M133" s="604"/>
      <c r="N133" s="604"/>
      <c r="O133" s="604"/>
      <c r="P133" s="306"/>
      <c r="Q133" s="306"/>
      <c r="R133" s="604"/>
      <c r="S133" s="604"/>
      <c r="T133" s="604"/>
      <c r="U133" s="605" t="str">
        <f>F133</f>
        <v>Emolehmä, pihvivasikkatuot.,</v>
      </c>
      <c r="V133" s="606" t="s">
        <v>42</v>
      </c>
      <c r="W133" s="417"/>
      <c r="X133" s="417"/>
      <c r="Y133" s="607"/>
      <c r="Z133" s="417"/>
      <c r="AA133" s="417"/>
      <c r="AB133" s="417"/>
      <c r="AC133" s="417"/>
      <c r="AD133" s="417"/>
    </row>
    <row r="134" spans="1:31" ht="18.5" x14ac:dyDescent="0.45">
      <c r="B134" s="417"/>
      <c r="C134" s="575" t="s">
        <v>475</v>
      </c>
      <c r="D134" s="576"/>
      <c r="E134" s="576"/>
      <c r="F134" s="576"/>
      <c r="G134" s="577" t="s">
        <v>405</v>
      </c>
      <c r="H134" s="578"/>
      <c r="I134" s="579" t="s">
        <v>79</v>
      </c>
      <c r="J134" s="37"/>
      <c r="K134" s="39"/>
      <c r="L134" s="39"/>
      <c r="M134" s="39"/>
      <c r="N134" s="39"/>
      <c r="O134" s="39"/>
      <c r="R134" s="575" t="s">
        <v>475</v>
      </c>
      <c r="S134" s="576"/>
      <c r="T134" s="576"/>
      <c r="U134" s="576"/>
      <c r="V134" s="577" t="s">
        <v>405</v>
      </c>
      <c r="W134" s="578"/>
      <c r="X134" s="579" t="s">
        <v>79</v>
      </c>
      <c r="Y134" s="37"/>
      <c r="Z134" s="39"/>
      <c r="AA134" s="39"/>
      <c r="AB134" s="39"/>
      <c r="AC134" s="39"/>
      <c r="AD134" s="39"/>
    </row>
    <row r="135" spans="1:31" ht="22" x14ac:dyDescent="0.35">
      <c r="B135" s="417"/>
      <c r="C135" s="51" t="s">
        <v>77</v>
      </c>
      <c r="D135" s="294" t="s">
        <v>281</v>
      </c>
      <c r="E135" s="54" t="s">
        <v>490</v>
      </c>
      <c r="F135" s="316" t="s">
        <v>491</v>
      </c>
      <c r="G135" s="268" t="s">
        <v>484</v>
      </c>
      <c r="H135" s="184" t="s">
        <v>486</v>
      </c>
      <c r="I135" s="184"/>
      <c r="J135" s="37"/>
      <c r="K135" s="39"/>
      <c r="L135" s="39"/>
      <c r="M135" s="39"/>
      <c r="N135" s="39"/>
      <c r="O135" s="39"/>
      <c r="R135" s="51" t="s">
        <v>77</v>
      </c>
      <c r="S135" s="294" t="s">
        <v>281</v>
      </c>
      <c r="T135" s="54" t="s">
        <v>490</v>
      </c>
      <c r="U135" s="316" t="s">
        <v>491</v>
      </c>
      <c r="V135" s="268" t="s">
        <v>484</v>
      </c>
      <c r="W135" s="184" t="s">
        <v>486</v>
      </c>
      <c r="X135" s="184"/>
      <c r="Y135" s="37"/>
      <c r="Z135" s="39"/>
      <c r="AA135" s="39"/>
      <c r="AB135" s="39"/>
      <c r="AC135" s="39"/>
      <c r="AD135" s="39"/>
    </row>
    <row r="136" spans="1:31" x14ac:dyDescent="0.35">
      <c r="B136" s="417"/>
      <c r="C136" s="300" t="s">
        <v>493</v>
      </c>
      <c r="D136" s="36"/>
      <c r="E136" s="36"/>
      <c r="F136" s="124"/>
      <c r="G136" s="269">
        <f>E136*F136/H$3</f>
        <v>0</v>
      </c>
      <c r="H136" s="184" t="s">
        <v>487</v>
      </c>
      <c r="I136" s="220">
        <f>G136</f>
        <v>0</v>
      </c>
      <c r="J136" s="37"/>
      <c r="K136" s="39"/>
      <c r="L136" s="39"/>
      <c r="M136" s="39"/>
      <c r="N136" s="39"/>
      <c r="O136" s="39"/>
      <c r="R136" s="300" t="s">
        <v>493</v>
      </c>
      <c r="S136" s="36"/>
      <c r="T136" s="36"/>
      <c r="U136" s="124"/>
      <c r="V136" s="269">
        <f>T136*U136/W$3</f>
        <v>0</v>
      </c>
      <c r="W136" s="184" t="s">
        <v>487</v>
      </c>
      <c r="X136" s="220">
        <f>V136</f>
        <v>0</v>
      </c>
      <c r="Y136" s="37"/>
      <c r="Z136" s="39"/>
      <c r="AA136" s="39"/>
      <c r="AB136" s="39"/>
      <c r="AC136" s="39"/>
      <c r="AD136" s="39"/>
    </row>
    <row r="137" spans="1:31" x14ac:dyDescent="0.35">
      <c r="B137" s="417"/>
      <c r="C137" s="300" t="s">
        <v>494</v>
      </c>
      <c r="D137" s="36"/>
      <c r="E137" s="36"/>
      <c r="F137" s="36"/>
      <c r="G137" s="269">
        <f>E137*F137/H$3</f>
        <v>0</v>
      </c>
      <c r="H137" s="184" t="s">
        <v>495</v>
      </c>
      <c r="I137" s="220">
        <f>G137</f>
        <v>0</v>
      </c>
      <c r="J137" s="37"/>
      <c r="K137" s="39"/>
      <c r="L137" s="39"/>
      <c r="M137" s="39"/>
      <c r="N137" s="39"/>
      <c r="O137" s="39"/>
      <c r="R137" s="300" t="s">
        <v>494</v>
      </c>
      <c r="S137" s="36"/>
      <c r="T137" s="36"/>
      <c r="U137" s="36"/>
      <c r="V137" s="269">
        <f>T137*U137/W$3</f>
        <v>0</v>
      </c>
      <c r="W137" s="184" t="s">
        <v>495</v>
      </c>
      <c r="X137" s="220">
        <f>V137</f>
        <v>0</v>
      </c>
      <c r="Y137" s="37"/>
      <c r="Z137" s="39"/>
      <c r="AA137" s="39"/>
      <c r="AB137" s="39"/>
      <c r="AC137" s="39"/>
      <c r="AD137" s="39"/>
    </row>
    <row r="138" spans="1:31" x14ac:dyDescent="0.35">
      <c r="B138" s="417"/>
      <c r="C138" s="301" t="s">
        <v>492</v>
      </c>
      <c r="D138" s="36"/>
      <c r="E138" s="304"/>
      <c r="F138" s="302"/>
      <c r="G138" s="269">
        <f>D138/H$3</f>
        <v>0</v>
      </c>
      <c r="H138" s="184" t="s">
        <v>489</v>
      </c>
      <c r="I138" s="220">
        <f>G138</f>
        <v>0</v>
      </c>
      <c r="J138" s="37"/>
      <c r="K138" s="39"/>
      <c r="L138" s="39"/>
      <c r="M138" s="39"/>
      <c r="N138" s="39"/>
      <c r="O138" s="39"/>
      <c r="R138" s="301" t="s">
        <v>492</v>
      </c>
      <c r="S138" s="36"/>
      <c r="T138" s="304"/>
      <c r="U138" s="302"/>
      <c r="V138" s="269">
        <f>S138/W$3</f>
        <v>0</v>
      </c>
      <c r="W138" s="184" t="s">
        <v>489</v>
      </c>
      <c r="X138" s="220">
        <f>V138</f>
        <v>0</v>
      </c>
      <c r="Y138" s="37"/>
      <c r="Z138" s="39"/>
      <c r="AA138" s="39"/>
      <c r="AB138" s="39"/>
      <c r="AC138" s="39"/>
      <c r="AD138" s="39"/>
    </row>
    <row r="139" spans="1:31" ht="15" thickBot="1" x14ac:dyDescent="0.4">
      <c r="B139" s="417"/>
      <c r="C139" s="301" t="s">
        <v>488</v>
      </c>
      <c r="D139" s="36"/>
      <c r="E139" s="305"/>
      <c r="F139" s="303"/>
      <c r="G139" s="269">
        <f>D139/H$3</f>
        <v>0</v>
      </c>
      <c r="H139" s="184" t="s">
        <v>465</v>
      </c>
      <c r="I139" s="220">
        <f>G139</f>
        <v>0</v>
      </c>
      <c r="J139" s="37"/>
      <c r="K139" s="39"/>
      <c r="L139" s="39"/>
      <c r="M139" s="39"/>
      <c r="N139" s="39"/>
      <c r="O139" s="39"/>
      <c r="R139" s="301" t="s">
        <v>488</v>
      </c>
      <c r="S139" s="36"/>
      <c r="T139" s="305"/>
      <c r="U139" s="303"/>
      <c r="V139" s="269">
        <f>S139/W$3</f>
        <v>0</v>
      </c>
      <c r="W139" s="184" t="s">
        <v>465</v>
      </c>
      <c r="X139" s="220">
        <f>V139</f>
        <v>0</v>
      </c>
      <c r="Y139" s="37"/>
      <c r="Z139" s="39"/>
      <c r="AA139" s="39"/>
      <c r="AB139" s="39"/>
      <c r="AC139" s="39"/>
      <c r="AD139" s="39"/>
    </row>
    <row r="140" spans="1:31" ht="15" thickBot="1" x14ac:dyDescent="0.4">
      <c r="B140" s="417"/>
      <c r="C140" s="77" t="s">
        <v>81</v>
      </c>
      <c r="D140" s="39"/>
      <c r="E140" s="37"/>
      <c r="F140" s="39"/>
      <c r="G140" s="271">
        <f>SUM(G136:G139)</f>
        <v>0</v>
      </c>
      <c r="H140" s="257"/>
      <c r="I140" s="257"/>
      <c r="J140" s="37"/>
      <c r="K140" s="39"/>
      <c r="L140" s="39"/>
      <c r="M140" s="39"/>
      <c r="N140" s="39"/>
      <c r="O140" s="39"/>
      <c r="R140" s="77" t="s">
        <v>81</v>
      </c>
      <c r="S140" s="39"/>
      <c r="T140" s="37"/>
      <c r="U140" s="39"/>
      <c r="V140" s="271">
        <f>SUM(V136:V139)</f>
        <v>0</v>
      </c>
      <c r="W140" s="257"/>
      <c r="X140" s="257"/>
      <c r="Y140" s="37"/>
      <c r="Z140" s="39"/>
      <c r="AA140" s="39"/>
      <c r="AB140" s="39"/>
      <c r="AC140" s="39"/>
      <c r="AD140" s="39"/>
    </row>
    <row r="141" spans="1:31" x14ac:dyDescent="0.35">
      <c r="B141" s="417"/>
      <c r="C141" s="77"/>
      <c r="D141" s="39"/>
      <c r="E141" s="39"/>
      <c r="F141" s="39"/>
      <c r="G141" s="390"/>
      <c r="H141" s="257"/>
      <c r="I141" s="257"/>
      <c r="J141" s="37"/>
      <c r="K141" s="39"/>
      <c r="L141" s="39"/>
      <c r="M141" s="39"/>
      <c r="N141" s="39"/>
      <c r="O141" s="39"/>
      <c r="R141" s="77"/>
      <c r="S141" s="39"/>
      <c r="T141" s="39"/>
      <c r="U141" s="39"/>
      <c r="V141" s="390"/>
      <c r="W141" s="257"/>
      <c r="X141" s="257"/>
      <c r="Y141" s="37"/>
      <c r="Z141" s="39"/>
      <c r="AA141" s="39"/>
      <c r="AB141" s="39"/>
      <c r="AC141" s="39"/>
      <c r="AD141" s="39"/>
    </row>
    <row r="142" spans="1:31" ht="18.5" x14ac:dyDescent="0.45">
      <c r="B142" s="417"/>
      <c r="C142" s="575" t="s">
        <v>34</v>
      </c>
      <c r="D142" s="576"/>
      <c r="E142" s="576"/>
      <c r="F142" s="576"/>
      <c r="G142" s="577"/>
      <c r="H142" s="578"/>
      <c r="I142" s="579"/>
      <c r="J142" s="37"/>
      <c r="K142" s="569" t="s">
        <v>518</v>
      </c>
      <c r="L142" s="569"/>
      <c r="M142" s="569"/>
      <c r="N142" s="569"/>
      <c r="O142" s="569"/>
      <c r="R142" s="575" t="s">
        <v>34</v>
      </c>
      <c r="S142" s="576"/>
      <c r="T142" s="576"/>
      <c r="U142" s="576"/>
      <c r="V142" s="577"/>
      <c r="W142" s="578"/>
      <c r="X142" s="579"/>
      <c r="Y142" s="37"/>
      <c r="Z142" s="569" t="s">
        <v>518</v>
      </c>
      <c r="AA142" s="569"/>
      <c r="AB142" s="569"/>
      <c r="AC142" s="569"/>
      <c r="AD142" s="569"/>
    </row>
    <row r="143" spans="1:31" ht="15.5" x14ac:dyDescent="0.35">
      <c r="B143" s="417"/>
      <c r="C143" s="51" t="s">
        <v>35</v>
      </c>
      <c r="D143" s="19"/>
      <c r="E143" s="21"/>
      <c r="F143" s="19"/>
      <c r="G143" s="273"/>
      <c r="H143" s="295"/>
      <c r="I143" s="19"/>
      <c r="J143" s="37"/>
      <c r="K143" s="39"/>
      <c r="L143" s="39"/>
      <c r="M143" s="39"/>
      <c r="N143" s="39" t="s">
        <v>40</v>
      </c>
      <c r="O143" s="39"/>
      <c r="R143" s="51" t="s">
        <v>35</v>
      </c>
      <c r="S143" s="19"/>
      <c r="T143" s="21"/>
      <c r="U143" s="19"/>
      <c r="V143" s="273"/>
      <c r="W143" s="295"/>
      <c r="X143" s="19"/>
      <c r="Y143" s="37"/>
      <c r="Z143" s="39"/>
      <c r="AA143" s="39"/>
      <c r="AB143" s="39"/>
      <c r="AC143" s="39" t="s">
        <v>40</v>
      </c>
      <c r="AD143" s="39"/>
    </row>
    <row r="144" spans="1:31" ht="22" x14ac:dyDescent="0.35">
      <c r="B144" s="417"/>
      <c r="C144" s="44" t="s">
        <v>36</v>
      </c>
      <c r="D144" s="316" t="s">
        <v>37</v>
      </c>
      <c r="E144" s="122" t="s">
        <v>25</v>
      </c>
      <c r="F144" s="316" t="s">
        <v>38</v>
      </c>
      <c r="G144" s="268" t="s">
        <v>483</v>
      </c>
      <c r="H144" s="296" t="s">
        <v>505</v>
      </c>
      <c r="I144" s="19"/>
      <c r="J144" s="37"/>
      <c r="K144" s="39"/>
      <c r="L144" s="39"/>
      <c r="M144" s="39"/>
      <c r="N144" s="54" t="s">
        <v>672</v>
      </c>
      <c r="O144" s="50" t="s">
        <v>43</v>
      </c>
      <c r="R144" s="44" t="s">
        <v>36</v>
      </c>
      <c r="S144" s="316" t="s">
        <v>37</v>
      </c>
      <c r="T144" s="122" t="s">
        <v>25</v>
      </c>
      <c r="U144" s="316" t="s">
        <v>38</v>
      </c>
      <c r="V144" s="268" t="s">
        <v>483</v>
      </c>
      <c r="W144" s="296" t="s">
        <v>505</v>
      </c>
      <c r="X144" s="19"/>
      <c r="Y144" s="37"/>
      <c r="Z144" s="39"/>
      <c r="AA144" s="39"/>
      <c r="AB144" s="39"/>
      <c r="AC144" s="54" t="s">
        <v>672</v>
      </c>
      <c r="AD144" s="50" t="s">
        <v>43</v>
      </c>
    </row>
    <row r="145" spans="2:30" x14ac:dyDescent="0.35">
      <c r="B145" s="417"/>
      <c r="C145" s="14" t="s">
        <v>476</v>
      </c>
      <c r="D145" s="36"/>
      <c r="E145" s="124"/>
      <c r="F145" s="22"/>
      <c r="G145" s="269">
        <f>D145*E145*F145/H$3</f>
        <v>0</v>
      </c>
      <c r="H145" s="387">
        <f>'Säilörehun tuotantokustannus'!F136</f>
        <v>0</v>
      </c>
      <c r="I145" s="387">
        <f>IF(E137=0,0,ROUNDUP(D145*H145*F145/E137*I174,3))</f>
        <v>0</v>
      </c>
      <c r="J145" s="37"/>
      <c r="K145" s="61" t="s">
        <v>35</v>
      </c>
      <c r="L145" s="39"/>
      <c r="M145" s="39"/>
      <c r="N145" s="383">
        <f>SUM(N146:N159)</f>
        <v>0</v>
      </c>
      <c r="O145" s="63">
        <f>IF(N$173=0,0,N145/N$173)</f>
        <v>0</v>
      </c>
      <c r="R145" s="14" t="s">
        <v>476</v>
      </c>
      <c r="S145" s="36"/>
      <c r="T145" s="124"/>
      <c r="U145" s="22"/>
      <c r="V145" s="269">
        <f>S145*T145*U145/W$3</f>
        <v>0</v>
      </c>
      <c r="W145" s="387">
        <f>'Säilörehun tuotantokustannus'!U136</f>
        <v>0</v>
      </c>
      <c r="X145" s="387">
        <f>IF(T137=0,0,ROUNDUP(S145*W145*U145/T137*X174,3))</f>
        <v>0</v>
      </c>
      <c r="Y145" s="37"/>
      <c r="Z145" s="61" t="s">
        <v>35</v>
      </c>
      <c r="AA145" s="39"/>
      <c r="AB145" s="39"/>
      <c r="AC145" s="383">
        <f>SUM(AC146:AC159)</f>
        <v>0</v>
      </c>
      <c r="AD145" s="63">
        <f>IF(AC$173=0,0,AC145/AC$173)</f>
        <v>0</v>
      </c>
    </row>
    <row r="146" spans="2:30" x14ac:dyDescent="0.35">
      <c r="B146" s="417"/>
      <c r="C146" s="14" t="s">
        <v>477</v>
      </c>
      <c r="D146" s="36"/>
      <c r="E146" s="394"/>
      <c r="F146" s="22"/>
      <c r="G146" s="269">
        <f>D146*E146*F146/H$3</f>
        <v>0</v>
      </c>
      <c r="H146" s="297"/>
      <c r="I146" s="19"/>
      <c r="J146" s="37"/>
      <c r="K146" s="39"/>
      <c r="L146" s="68" t="str">
        <f>C145</f>
        <v xml:space="preserve">   Säilörehu</v>
      </c>
      <c r="M146" s="39"/>
      <c r="N146" s="382">
        <f>IF((H$134+E$137)=0,0,G145*(1-I$174)/(E$137/H$134))</f>
        <v>0</v>
      </c>
      <c r="O146" s="69">
        <f t="shared" ref="O146:O171" si="32">IF(N$173=0,0,N146/N$173)</f>
        <v>0</v>
      </c>
      <c r="R146" s="14" t="s">
        <v>477</v>
      </c>
      <c r="S146" s="36"/>
      <c r="T146" s="394"/>
      <c r="U146" s="22"/>
      <c r="V146" s="269">
        <f>S146*T146*U146/W$3</f>
        <v>0</v>
      </c>
      <c r="W146" s="297"/>
      <c r="X146" s="19"/>
      <c r="Y146" s="37"/>
      <c r="Z146" s="39"/>
      <c r="AA146" s="68" t="str">
        <f>R145</f>
        <v xml:space="preserve">   Säilörehu</v>
      </c>
      <c r="AB146" s="39"/>
      <c r="AC146" s="382">
        <f>IF((W$134+T$137)=0,0,V145*(1-X$174)/(T$137/W$134))</f>
        <v>0</v>
      </c>
      <c r="AD146" s="69">
        <f t="shared" ref="AD146:AD171" si="33">IF(AC$173=0,0,AC146/AC$173)</f>
        <v>0</v>
      </c>
    </row>
    <row r="147" spans="2:30" x14ac:dyDescent="0.35">
      <c r="B147" s="417"/>
      <c r="C147" s="14" t="s">
        <v>478</v>
      </c>
      <c r="D147" s="36"/>
      <c r="E147" s="394"/>
      <c r="F147" s="22"/>
      <c r="G147" s="269">
        <f>D147*E147*F147/H$3</f>
        <v>0</v>
      </c>
      <c r="H147" s="297"/>
      <c r="I147" s="19"/>
      <c r="J147" s="37"/>
      <c r="K147" s="39"/>
      <c r="L147" s="68" t="str">
        <f>C146</f>
        <v xml:space="preserve">   Rehuvilja</v>
      </c>
      <c r="M147" s="39"/>
      <c r="N147" s="382">
        <f>IF((H$134+E$137)=0,0,G146*(1-I$174)/(E$137/H$134))</f>
        <v>0</v>
      </c>
      <c r="O147" s="69">
        <f t="shared" si="32"/>
        <v>0</v>
      </c>
      <c r="R147" s="14" t="s">
        <v>478</v>
      </c>
      <c r="S147" s="36"/>
      <c r="T147" s="394"/>
      <c r="U147" s="22"/>
      <c r="V147" s="269">
        <f>S147*T147*U147/W$3</f>
        <v>0</v>
      </c>
      <c r="W147" s="297"/>
      <c r="X147" s="19"/>
      <c r="Y147" s="37"/>
      <c r="Z147" s="39"/>
      <c r="AA147" s="68" t="str">
        <f>R146</f>
        <v xml:space="preserve">   Rehuvilja</v>
      </c>
      <c r="AB147" s="39"/>
      <c r="AC147" s="382">
        <f>IF((W$134+T$137)=0,0,V146*(1-X$174)/(T$137/W$134))</f>
        <v>0</v>
      </c>
      <c r="AD147" s="69">
        <f t="shared" si="33"/>
        <v>0</v>
      </c>
    </row>
    <row r="148" spans="2:30" x14ac:dyDescent="0.35">
      <c r="B148" s="417"/>
      <c r="C148" s="14" t="s">
        <v>479</v>
      </c>
      <c r="D148" s="36"/>
      <c r="E148" s="394"/>
      <c r="F148" s="22"/>
      <c r="G148" s="269">
        <f>D148*E148*F148/H$3</f>
        <v>0</v>
      </c>
      <c r="H148" s="297"/>
      <c r="I148" s="19"/>
      <c r="J148" s="37"/>
      <c r="K148" s="39"/>
      <c r="L148" s="68" t="str">
        <f>C147</f>
        <v xml:space="preserve">   Kokoviljasäilörehu</v>
      </c>
      <c r="M148" s="39"/>
      <c r="N148" s="382">
        <f>IF((H$134+E$137)=0,0,G147*(1-I$174)/(E$137/H$134))</f>
        <v>0</v>
      </c>
      <c r="O148" s="69">
        <f t="shared" si="32"/>
        <v>0</v>
      </c>
      <c r="R148" s="14" t="s">
        <v>479</v>
      </c>
      <c r="S148" s="36"/>
      <c r="T148" s="394"/>
      <c r="U148" s="22"/>
      <c r="V148" s="269">
        <f>S148*T148*U148/W$3</f>
        <v>0</v>
      </c>
      <c r="W148" s="297"/>
      <c r="X148" s="19"/>
      <c r="Y148" s="37"/>
      <c r="Z148" s="39"/>
      <c r="AA148" s="68" t="str">
        <f>R147</f>
        <v xml:space="preserve">   Kokoviljasäilörehu</v>
      </c>
      <c r="AB148" s="39"/>
      <c r="AC148" s="382">
        <f>IF((W$134+T$137)=0,0,V147*(1-X$174)/(T$137/W$134))</f>
        <v>0</v>
      </c>
      <c r="AD148" s="69">
        <f t="shared" si="33"/>
        <v>0</v>
      </c>
    </row>
    <row r="149" spans="2:30" x14ac:dyDescent="0.35">
      <c r="B149" s="417"/>
      <c r="C149" s="14" t="s">
        <v>480</v>
      </c>
      <c r="D149" s="36"/>
      <c r="E149" s="394"/>
      <c r="F149" s="22"/>
      <c r="G149" s="269">
        <f>D149*E149*F149/H$3</f>
        <v>0</v>
      </c>
      <c r="H149" s="297"/>
      <c r="I149" s="19"/>
      <c r="J149" s="37"/>
      <c r="K149" s="39"/>
      <c r="L149" s="68" t="str">
        <f>C148</f>
        <v xml:space="preserve">   Laidun</v>
      </c>
      <c r="M149" s="39"/>
      <c r="N149" s="382">
        <f>IF((H$134+E$137)=0,0,G148*(1-I$174)/(E$137/H$134))</f>
        <v>0</v>
      </c>
      <c r="O149" s="69">
        <f t="shared" si="32"/>
        <v>0</v>
      </c>
      <c r="R149" s="14" t="s">
        <v>480</v>
      </c>
      <c r="S149" s="36"/>
      <c r="T149" s="394"/>
      <c r="U149" s="22"/>
      <c r="V149" s="269">
        <f>S149*T149*U149/W$3</f>
        <v>0</v>
      </c>
      <c r="W149" s="297"/>
      <c r="X149" s="19"/>
      <c r="Y149" s="37"/>
      <c r="Z149" s="39"/>
      <c r="AA149" s="68" t="str">
        <f>R148</f>
        <v xml:space="preserve">   Laidun</v>
      </c>
      <c r="AB149" s="39"/>
      <c r="AC149" s="382">
        <f>IF((W$134+T$137)=0,0,V148*(1-X$174)/(T$137/W$134))</f>
        <v>0</v>
      </c>
      <c r="AD149" s="69">
        <f t="shared" si="33"/>
        <v>0</v>
      </c>
    </row>
    <row r="150" spans="2:30" x14ac:dyDescent="0.35">
      <c r="B150" s="417"/>
      <c r="C150" s="39"/>
      <c r="D150" s="39"/>
      <c r="E150" s="395" t="s">
        <v>75</v>
      </c>
      <c r="F150" s="395" t="s">
        <v>38</v>
      </c>
      <c r="G150" s="268" t="s">
        <v>483</v>
      </c>
      <c r="H150" s="297"/>
      <c r="I150" s="19"/>
      <c r="J150" s="37"/>
      <c r="K150" s="39"/>
      <c r="L150" s="68" t="str">
        <f>C149</f>
        <v xml:space="preserve">   Muut korsirehut</v>
      </c>
      <c r="M150" s="39"/>
      <c r="N150" s="382">
        <f>IF((H$134+E$137)=0,0,G149*(1-I$174)/(E$137/H$134))</f>
        <v>0</v>
      </c>
      <c r="O150" s="69">
        <f t="shared" si="32"/>
        <v>0</v>
      </c>
      <c r="R150" s="39"/>
      <c r="S150" s="39"/>
      <c r="T150" s="395" t="s">
        <v>75</v>
      </c>
      <c r="U150" s="395" t="s">
        <v>38</v>
      </c>
      <c r="V150" s="268" t="s">
        <v>483</v>
      </c>
      <c r="W150" s="297"/>
      <c r="X150" s="19"/>
      <c r="Y150" s="37"/>
      <c r="Z150" s="39"/>
      <c r="AA150" s="68" t="str">
        <f>R149</f>
        <v xml:space="preserve">   Muut korsirehut</v>
      </c>
      <c r="AB150" s="39"/>
      <c r="AC150" s="382">
        <f>IF((W$134+T$137)=0,0,V149*(1-X$174)/(T$137/W$134))</f>
        <v>0</v>
      </c>
      <c r="AD150" s="69">
        <f t="shared" si="33"/>
        <v>0</v>
      </c>
    </row>
    <row r="151" spans="2:30" x14ac:dyDescent="0.35">
      <c r="B151" s="417"/>
      <c r="C151" s="314" t="s">
        <v>47</v>
      </c>
      <c r="D151" s="315"/>
      <c r="E151" s="36"/>
      <c r="F151" s="22"/>
      <c r="G151" s="269">
        <f t="shared" ref="G151:G159" si="34">E151*F151/H$3</f>
        <v>0</v>
      </c>
      <c r="H151" s="297"/>
      <c r="I151" s="19"/>
      <c r="J151" s="37"/>
      <c r="K151" s="39"/>
      <c r="L151" s="68" t="str">
        <f t="shared" ref="L151:L159" si="35">C151</f>
        <v>Ostorehut</v>
      </c>
      <c r="M151" s="39"/>
      <c r="N151" s="382">
        <f>IF((H$134+E$137)=0,0,G151*(1-I$174)/(E$137/H$134))</f>
        <v>0</v>
      </c>
      <c r="O151" s="69">
        <f t="shared" si="32"/>
        <v>0</v>
      </c>
      <c r="R151" s="314" t="s">
        <v>47</v>
      </c>
      <c r="S151" s="315"/>
      <c r="T151" s="36"/>
      <c r="U151" s="22"/>
      <c r="V151" s="269">
        <f t="shared" ref="V151:V159" si="36">T151*U151/W$3</f>
        <v>0</v>
      </c>
      <c r="W151" s="297"/>
      <c r="X151" s="19"/>
      <c r="Y151" s="37"/>
      <c r="Z151" s="39"/>
      <c r="AA151" s="68" t="str">
        <f t="shared" ref="AA151:AA159" si="37">R151</f>
        <v>Ostorehut</v>
      </c>
      <c r="AB151" s="39"/>
      <c r="AC151" s="382">
        <f>IF((W$134+T$137)=0,0,V151*(1-X$174)/(T$137/W$134))</f>
        <v>0</v>
      </c>
      <c r="AD151" s="69">
        <f t="shared" si="33"/>
        <v>0</v>
      </c>
    </row>
    <row r="152" spans="2:30" x14ac:dyDescent="0.35">
      <c r="B152" s="417"/>
      <c r="C152" s="877" t="s">
        <v>72</v>
      </c>
      <c r="D152" s="878"/>
      <c r="E152" s="36"/>
      <c r="F152" s="22"/>
      <c r="G152" s="269">
        <f t="shared" si="34"/>
        <v>0</v>
      </c>
      <c r="H152" s="297"/>
      <c r="I152" s="19"/>
      <c r="J152" s="37"/>
      <c r="K152" s="39"/>
      <c r="L152" s="68" t="str">
        <f t="shared" si="35"/>
        <v>Kivennäiset</v>
      </c>
      <c r="M152" s="39"/>
      <c r="N152" s="382">
        <f t="shared" ref="N152:N159" si="38">IF((H$134+E$137)=0,0,G152*(1-I$174)/(E$137/H$134))</f>
        <v>0</v>
      </c>
      <c r="O152" s="69">
        <f t="shared" si="32"/>
        <v>0</v>
      </c>
      <c r="R152" s="877" t="s">
        <v>72</v>
      </c>
      <c r="S152" s="878"/>
      <c r="T152" s="36"/>
      <c r="U152" s="22"/>
      <c r="V152" s="269">
        <f t="shared" si="36"/>
        <v>0</v>
      </c>
      <c r="W152" s="297"/>
      <c r="X152" s="19"/>
      <c r="Y152" s="37"/>
      <c r="Z152" s="39"/>
      <c r="AA152" s="68" t="str">
        <f t="shared" si="37"/>
        <v>Kivennäiset</v>
      </c>
      <c r="AB152" s="39"/>
      <c r="AC152" s="382">
        <f t="shared" ref="AC152:AC159" si="39">IF((W$134+T$137)=0,0,V152*(1-X$174)/(T$137/W$134))</f>
        <v>0</v>
      </c>
      <c r="AD152" s="69">
        <f t="shared" si="33"/>
        <v>0</v>
      </c>
    </row>
    <row r="153" spans="2:30" x14ac:dyDescent="0.35">
      <c r="B153" s="417"/>
      <c r="C153" s="877" t="s">
        <v>481</v>
      </c>
      <c r="D153" s="878"/>
      <c r="E153" s="36"/>
      <c r="F153" s="22"/>
      <c r="G153" s="269">
        <f t="shared" si="34"/>
        <v>0</v>
      </c>
      <c r="H153" s="297"/>
      <c r="I153" s="19"/>
      <c r="J153" s="37"/>
      <c r="K153" s="39"/>
      <c r="L153" s="68" t="str">
        <f t="shared" si="35"/>
        <v>Lääkintä</v>
      </c>
      <c r="M153" s="39"/>
      <c r="N153" s="382">
        <f t="shared" si="38"/>
        <v>0</v>
      </c>
      <c r="O153" s="69">
        <f t="shared" si="32"/>
        <v>0</v>
      </c>
      <c r="R153" s="877" t="s">
        <v>481</v>
      </c>
      <c r="S153" s="878"/>
      <c r="T153" s="36"/>
      <c r="U153" s="22"/>
      <c r="V153" s="269">
        <f t="shared" si="36"/>
        <v>0</v>
      </c>
      <c r="W153" s="297"/>
      <c r="X153" s="19"/>
      <c r="Y153" s="37"/>
      <c r="Z153" s="39"/>
      <c r="AA153" s="68" t="str">
        <f t="shared" si="37"/>
        <v>Lääkintä</v>
      </c>
      <c r="AB153" s="39"/>
      <c r="AC153" s="382">
        <f t="shared" si="39"/>
        <v>0</v>
      </c>
      <c r="AD153" s="69">
        <f t="shared" si="33"/>
        <v>0</v>
      </c>
    </row>
    <row r="154" spans="2:30" x14ac:dyDescent="0.35">
      <c r="B154" s="417"/>
      <c r="C154" s="877" t="s">
        <v>482</v>
      </c>
      <c r="D154" s="878"/>
      <c r="E154" s="36"/>
      <c r="F154" s="22"/>
      <c r="G154" s="269">
        <f t="shared" si="34"/>
        <v>0</v>
      </c>
      <c r="H154" s="297"/>
      <c r="I154" s="19"/>
      <c r="J154" s="37"/>
      <c r="K154" s="39"/>
      <c r="L154" s="68" t="str">
        <f t="shared" si="35"/>
        <v>Siemennys, jalostus ym.</v>
      </c>
      <c r="M154" s="39"/>
      <c r="N154" s="382">
        <f t="shared" si="38"/>
        <v>0</v>
      </c>
      <c r="O154" s="69">
        <f t="shared" si="32"/>
        <v>0</v>
      </c>
      <c r="R154" s="877" t="s">
        <v>482</v>
      </c>
      <c r="S154" s="878"/>
      <c r="T154" s="36"/>
      <c r="U154" s="22"/>
      <c r="V154" s="269">
        <f t="shared" si="36"/>
        <v>0</v>
      </c>
      <c r="W154" s="297"/>
      <c r="X154" s="19"/>
      <c r="Y154" s="37"/>
      <c r="Z154" s="39"/>
      <c r="AA154" s="68" t="str">
        <f t="shared" si="37"/>
        <v>Siemennys, jalostus ym.</v>
      </c>
      <c r="AB154" s="39"/>
      <c r="AC154" s="382">
        <f t="shared" si="39"/>
        <v>0</v>
      </c>
      <c r="AD154" s="69">
        <f t="shared" si="33"/>
        <v>0</v>
      </c>
    </row>
    <row r="155" spans="2:30" x14ac:dyDescent="0.35">
      <c r="B155" s="417"/>
      <c r="C155" s="877" t="s">
        <v>49</v>
      </c>
      <c r="D155" s="878"/>
      <c r="E155" s="36"/>
      <c r="F155" s="22"/>
      <c r="G155" s="269">
        <f t="shared" si="34"/>
        <v>0</v>
      </c>
      <c r="H155" s="297"/>
      <c r="I155" s="19"/>
      <c r="J155" s="37"/>
      <c r="K155" s="39"/>
      <c r="L155" s="68" t="str">
        <f t="shared" si="35"/>
        <v>Kuivikkeet</v>
      </c>
      <c r="M155" s="39"/>
      <c r="N155" s="382">
        <f t="shared" si="38"/>
        <v>0</v>
      </c>
      <c r="O155" s="69">
        <f t="shared" si="32"/>
        <v>0</v>
      </c>
      <c r="R155" s="877" t="s">
        <v>49</v>
      </c>
      <c r="S155" s="878"/>
      <c r="T155" s="36"/>
      <c r="U155" s="22"/>
      <c r="V155" s="269">
        <f t="shared" si="36"/>
        <v>0</v>
      </c>
      <c r="W155" s="297"/>
      <c r="X155" s="19"/>
      <c r="Y155" s="37"/>
      <c r="Z155" s="39"/>
      <c r="AA155" s="68" t="str">
        <f t="shared" si="37"/>
        <v>Kuivikkeet</v>
      </c>
      <c r="AB155" s="39"/>
      <c r="AC155" s="382">
        <f t="shared" si="39"/>
        <v>0</v>
      </c>
      <c r="AD155" s="69">
        <f t="shared" si="33"/>
        <v>0</v>
      </c>
    </row>
    <row r="156" spans="2:30" x14ac:dyDescent="0.35">
      <c r="B156" s="417"/>
      <c r="C156" s="879" t="s">
        <v>50</v>
      </c>
      <c r="D156" s="875"/>
      <c r="E156" s="36"/>
      <c r="F156" s="22"/>
      <c r="G156" s="269">
        <f t="shared" si="34"/>
        <v>0</v>
      </c>
      <c r="H156" s="297"/>
      <c r="I156" s="19"/>
      <c r="J156" s="37"/>
      <c r="K156" s="39"/>
      <c r="L156" s="282" t="str">
        <f t="shared" si="35"/>
        <v>Muut muuttuvat kustannukset</v>
      </c>
      <c r="M156" s="39"/>
      <c r="N156" s="382">
        <f t="shared" si="38"/>
        <v>0</v>
      </c>
      <c r="O156" s="69">
        <f t="shared" si="32"/>
        <v>0</v>
      </c>
      <c r="R156" s="879" t="s">
        <v>50</v>
      </c>
      <c r="S156" s="875"/>
      <c r="T156" s="36"/>
      <c r="U156" s="22"/>
      <c r="V156" s="269">
        <f t="shared" si="36"/>
        <v>0</v>
      </c>
      <c r="W156" s="297"/>
      <c r="X156" s="19"/>
      <c r="Y156" s="37"/>
      <c r="Z156" s="39"/>
      <c r="AA156" s="282" t="str">
        <f t="shared" si="37"/>
        <v>Muut muuttuvat kustannukset</v>
      </c>
      <c r="AB156" s="39"/>
      <c r="AC156" s="382">
        <f t="shared" si="39"/>
        <v>0</v>
      </c>
      <c r="AD156" s="69">
        <f t="shared" si="33"/>
        <v>0</v>
      </c>
    </row>
    <row r="157" spans="2:30" x14ac:dyDescent="0.35">
      <c r="B157" s="417"/>
      <c r="C157" s="877" t="s">
        <v>51</v>
      </c>
      <c r="D157" s="878"/>
      <c r="E157" s="36"/>
      <c r="F157" s="22"/>
      <c r="G157" s="269">
        <f t="shared" si="34"/>
        <v>0</v>
      </c>
      <c r="H157" s="297"/>
      <c r="I157" s="19"/>
      <c r="J157" s="37"/>
      <c r="K157" s="39"/>
      <c r="L157" s="68" t="str">
        <f t="shared" si="35"/>
        <v>Eläinten ostot</v>
      </c>
      <c r="M157" s="39"/>
      <c r="N157" s="382">
        <f t="shared" si="38"/>
        <v>0</v>
      </c>
      <c r="O157" s="69">
        <f t="shared" si="32"/>
        <v>0</v>
      </c>
      <c r="R157" s="877" t="s">
        <v>51</v>
      </c>
      <c r="S157" s="878"/>
      <c r="T157" s="36"/>
      <c r="U157" s="22"/>
      <c r="V157" s="269">
        <f t="shared" si="36"/>
        <v>0</v>
      </c>
      <c r="W157" s="297"/>
      <c r="X157" s="19"/>
      <c r="Y157" s="37"/>
      <c r="Z157" s="39"/>
      <c r="AA157" s="68" t="str">
        <f t="shared" si="37"/>
        <v>Eläinten ostot</v>
      </c>
      <c r="AB157" s="39"/>
      <c r="AC157" s="382">
        <f t="shared" si="39"/>
        <v>0</v>
      </c>
      <c r="AD157" s="69">
        <f t="shared" si="33"/>
        <v>0</v>
      </c>
    </row>
    <row r="158" spans="2:30" x14ac:dyDescent="0.35">
      <c r="B158" s="417"/>
      <c r="C158" s="291" t="s">
        <v>52</v>
      </c>
      <c r="D158" s="36"/>
      <c r="E158" s="36"/>
      <c r="F158" s="22"/>
      <c r="G158" s="269">
        <f t="shared" si="34"/>
        <v>0</v>
      </c>
      <c r="H158" s="297"/>
      <c r="I158" s="19"/>
      <c r="J158" s="37"/>
      <c r="K158" s="39"/>
      <c r="L158" s="68" t="str">
        <f t="shared" si="35"/>
        <v>Eläinpääoman korko</v>
      </c>
      <c r="M158" s="55"/>
      <c r="N158" s="382">
        <f t="shared" si="38"/>
        <v>0</v>
      </c>
      <c r="O158" s="69">
        <f t="shared" si="32"/>
        <v>0</v>
      </c>
      <c r="R158" s="291" t="s">
        <v>52</v>
      </c>
      <c r="S158" s="36"/>
      <c r="T158" s="36"/>
      <c r="U158" s="22"/>
      <c r="V158" s="269">
        <f t="shared" si="36"/>
        <v>0</v>
      </c>
      <c r="W158" s="297"/>
      <c r="X158" s="19"/>
      <c r="Y158" s="37"/>
      <c r="Z158" s="39"/>
      <c r="AA158" s="68" t="str">
        <f t="shared" si="37"/>
        <v>Eläinpääoman korko</v>
      </c>
      <c r="AB158" s="55"/>
      <c r="AC158" s="382">
        <f t="shared" si="39"/>
        <v>0</v>
      </c>
      <c r="AD158" s="69">
        <f t="shared" si="33"/>
        <v>0</v>
      </c>
    </row>
    <row r="159" spans="2:30" x14ac:dyDescent="0.35">
      <c r="B159" s="417"/>
      <c r="C159" s="291" t="s">
        <v>53</v>
      </c>
      <c r="D159" s="36"/>
      <c r="E159" s="36"/>
      <c r="F159" s="22"/>
      <c r="G159" s="269">
        <f t="shared" si="34"/>
        <v>0</v>
      </c>
      <c r="H159" s="297"/>
      <c r="I159" s="22">
        <v>0.6</v>
      </c>
      <c r="J159" s="37"/>
      <c r="K159" s="39"/>
      <c r="L159" s="68" t="str">
        <f t="shared" si="35"/>
        <v>Liikepääoman korko</v>
      </c>
      <c r="M159" s="73"/>
      <c r="N159" s="382">
        <f t="shared" si="38"/>
        <v>0</v>
      </c>
      <c r="O159" s="69">
        <f t="shared" si="32"/>
        <v>0</v>
      </c>
      <c r="R159" s="291" t="s">
        <v>53</v>
      </c>
      <c r="S159" s="36"/>
      <c r="T159" s="36"/>
      <c r="U159" s="22"/>
      <c r="V159" s="269">
        <f t="shared" si="36"/>
        <v>0</v>
      </c>
      <c r="W159" s="297"/>
      <c r="X159" s="22">
        <v>0.6</v>
      </c>
      <c r="Y159" s="37"/>
      <c r="Z159" s="39"/>
      <c r="AA159" s="68" t="str">
        <f t="shared" si="37"/>
        <v>Liikepääoman korko</v>
      </c>
      <c r="AB159" s="73"/>
      <c r="AC159" s="382">
        <f t="shared" si="39"/>
        <v>0</v>
      </c>
      <c r="AD159" s="69">
        <f t="shared" si="33"/>
        <v>0</v>
      </c>
    </row>
    <row r="160" spans="2:30" x14ac:dyDescent="0.35">
      <c r="B160" s="417"/>
      <c r="C160" s="19"/>
      <c r="D160" s="19"/>
      <c r="E160" s="19"/>
      <c r="F160" s="19"/>
      <c r="G160" s="273"/>
      <c r="H160" s="297"/>
      <c r="I160" s="19"/>
      <c r="J160" s="37"/>
      <c r="K160" s="39"/>
      <c r="L160" s="39"/>
      <c r="M160" s="39"/>
      <c r="N160" s="382"/>
      <c r="O160" s="39"/>
      <c r="R160" s="19"/>
      <c r="S160" s="19"/>
      <c r="T160" s="19"/>
      <c r="U160" s="19"/>
      <c r="V160" s="273"/>
      <c r="W160" s="297"/>
      <c r="X160" s="19"/>
      <c r="Y160" s="37"/>
      <c r="Z160" s="39"/>
      <c r="AA160" s="39"/>
      <c r="AB160" s="39"/>
      <c r="AC160" s="382"/>
      <c r="AD160" s="39"/>
    </row>
    <row r="161" spans="2:30" ht="15.5" x14ac:dyDescent="0.35">
      <c r="B161" s="417"/>
      <c r="C161" s="51" t="s">
        <v>54</v>
      </c>
      <c r="D161" s="74" t="s">
        <v>55</v>
      </c>
      <c r="E161" s="54" t="s">
        <v>20</v>
      </c>
      <c r="F161" s="316" t="s">
        <v>38</v>
      </c>
      <c r="G161" s="268" t="s">
        <v>483</v>
      </c>
      <c r="H161" s="34" t="s">
        <v>466</v>
      </c>
      <c r="I161" s="34" t="s">
        <v>512</v>
      </c>
      <c r="J161" s="37"/>
      <c r="K161" s="61" t="s">
        <v>54</v>
      </c>
      <c r="L161" s="39"/>
      <c r="M161" s="39"/>
      <c r="N161" s="383">
        <f>SUM(N162:N163)</f>
        <v>0</v>
      </c>
      <c r="O161" s="63">
        <f t="shared" si="32"/>
        <v>0</v>
      </c>
      <c r="R161" s="51" t="s">
        <v>54</v>
      </c>
      <c r="S161" s="74" t="s">
        <v>55</v>
      </c>
      <c r="T161" s="54" t="s">
        <v>20</v>
      </c>
      <c r="U161" s="316" t="s">
        <v>38</v>
      </c>
      <c r="V161" s="268" t="s">
        <v>483</v>
      </c>
      <c r="W161" s="34" t="s">
        <v>466</v>
      </c>
      <c r="X161" s="34" t="s">
        <v>512</v>
      </c>
      <c r="Y161" s="37"/>
      <c r="Z161" s="61" t="s">
        <v>54</v>
      </c>
      <c r="AA161" s="39"/>
      <c r="AB161" s="39"/>
      <c r="AC161" s="383">
        <f>SUM(AC162:AC163)</f>
        <v>0</v>
      </c>
      <c r="AD161" s="63">
        <f t="shared" si="33"/>
        <v>0</v>
      </c>
    </row>
    <row r="162" spans="2:30" x14ac:dyDescent="0.35">
      <c r="B162" s="417"/>
      <c r="C162" s="17" t="s">
        <v>56</v>
      </c>
      <c r="D162" s="215"/>
      <c r="E162" s="36">
        <f>D162*365*H162</f>
        <v>0</v>
      </c>
      <c r="F162" s="22"/>
      <c r="G162" s="269">
        <f>E162*F162/H$3</f>
        <v>0</v>
      </c>
      <c r="H162" s="124">
        <f>'Säilörehun tuotantokustannus'!$P$26</f>
        <v>17</v>
      </c>
      <c r="I162" s="215">
        <f>IF(H162=0,0,G162/H162)</f>
        <v>0</v>
      </c>
      <c r="J162" s="37"/>
      <c r="K162" s="39"/>
      <c r="L162" s="39" t="s">
        <v>243</v>
      </c>
      <c r="M162" s="39"/>
      <c r="N162" s="382">
        <f>IF((H$134+E$137)=0,0,G162*(1-I$174)/(E$137/H$134))</f>
        <v>0</v>
      </c>
      <c r="O162" s="69">
        <f t="shared" si="32"/>
        <v>0</v>
      </c>
      <c r="R162" s="17" t="s">
        <v>56</v>
      </c>
      <c r="S162" s="215"/>
      <c r="T162" s="36">
        <f>S162*365*W162</f>
        <v>0</v>
      </c>
      <c r="U162" s="22"/>
      <c r="V162" s="269">
        <f>T162*U162/W$3</f>
        <v>0</v>
      </c>
      <c r="W162" s="124">
        <f>'Säilörehun tuotantokustannus'!$P$26</f>
        <v>17</v>
      </c>
      <c r="X162" s="215">
        <f>IF(W162=0,0,V162/W162)</f>
        <v>0</v>
      </c>
      <c r="Y162" s="37"/>
      <c r="Z162" s="39"/>
      <c r="AA162" s="39" t="s">
        <v>243</v>
      </c>
      <c r="AB162" s="39"/>
      <c r="AC162" s="382">
        <f>IF((W$134+T$137)=0,0,V162*(1-X$174)/(T$137/W$134))</f>
        <v>0</v>
      </c>
      <c r="AD162" s="69">
        <f t="shared" si="33"/>
        <v>0</v>
      </c>
    </row>
    <row r="163" spans="2:30" x14ac:dyDescent="0.35">
      <c r="B163" s="417"/>
      <c r="C163" s="17" t="s">
        <v>61</v>
      </c>
      <c r="D163" s="215"/>
      <c r="E163" s="36">
        <f>D163*365*H163</f>
        <v>0</v>
      </c>
      <c r="F163" s="22"/>
      <c r="G163" s="269">
        <f>E163*F163/H$3</f>
        <v>0</v>
      </c>
      <c r="H163" s="124">
        <f>'Säilörehun tuotantokustannus'!$P$27</f>
        <v>15</v>
      </c>
      <c r="I163" s="215">
        <f>IF(H163=0,0,G163/H163)</f>
        <v>0</v>
      </c>
      <c r="J163" s="37"/>
      <c r="K163" s="39"/>
      <c r="L163" s="39" t="s">
        <v>62</v>
      </c>
      <c r="M163" s="39"/>
      <c r="N163" s="382">
        <f>IF((H$134+E$137)=0,0,G163*(1-I$174)/(E$137/H$134))</f>
        <v>0</v>
      </c>
      <c r="O163" s="69">
        <f t="shared" si="32"/>
        <v>0</v>
      </c>
      <c r="R163" s="17" t="s">
        <v>61</v>
      </c>
      <c r="S163" s="215"/>
      <c r="T163" s="36">
        <f>S163*365*W163</f>
        <v>0</v>
      </c>
      <c r="U163" s="22"/>
      <c r="V163" s="269">
        <f>T163*U163/W$3</f>
        <v>0</v>
      </c>
      <c r="W163" s="124">
        <f>'Säilörehun tuotantokustannus'!$P$27</f>
        <v>15</v>
      </c>
      <c r="X163" s="215">
        <f>IF(W163=0,0,V163/W163)</f>
        <v>0</v>
      </c>
      <c r="Y163" s="37"/>
      <c r="Z163" s="39"/>
      <c r="AA163" s="39" t="s">
        <v>62</v>
      </c>
      <c r="AB163" s="39"/>
      <c r="AC163" s="382">
        <f>IF((W$134+T$137)=0,0,V163*(1-X$174)/(T$137/W$134))</f>
        <v>0</v>
      </c>
      <c r="AD163" s="69">
        <f t="shared" si="33"/>
        <v>0</v>
      </c>
    </row>
    <row r="164" spans="2:30" x14ac:dyDescent="0.35">
      <c r="B164" s="417"/>
      <c r="C164" s="19"/>
      <c r="D164" s="19"/>
      <c r="E164" s="19"/>
      <c r="F164" s="19"/>
      <c r="G164" s="273"/>
      <c r="H164" s="297"/>
      <c r="I164" s="19"/>
      <c r="J164" s="37"/>
      <c r="K164" s="39"/>
      <c r="L164" s="39"/>
      <c r="M164" s="39"/>
      <c r="N164" s="382"/>
      <c r="O164" s="39"/>
      <c r="R164" s="19"/>
      <c r="S164" s="19"/>
      <c r="T164" s="19"/>
      <c r="U164" s="19"/>
      <c r="V164" s="273"/>
      <c r="W164" s="297"/>
      <c r="X164" s="19"/>
      <c r="Y164" s="37"/>
      <c r="Z164" s="39"/>
      <c r="AA164" s="39"/>
      <c r="AB164" s="39"/>
      <c r="AC164" s="382"/>
      <c r="AD164" s="39"/>
    </row>
    <row r="165" spans="2:30" ht="16" thickBot="1" x14ac:dyDescent="0.4">
      <c r="B165" s="417"/>
      <c r="C165" s="51" t="s">
        <v>63</v>
      </c>
      <c r="D165" s="19"/>
      <c r="E165" s="19"/>
      <c r="F165" s="20"/>
      <c r="G165" s="391"/>
      <c r="H165" s="297"/>
      <c r="I165" s="19"/>
      <c r="J165" s="37"/>
      <c r="K165" s="39"/>
      <c r="L165" s="39"/>
      <c r="M165" s="39"/>
      <c r="N165" s="382"/>
      <c r="O165" s="39"/>
      <c r="R165" s="51" t="s">
        <v>63</v>
      </c>
      <c r="S165" s="19"/>
      <c r="T165" s="19"/>
      <c r="U165" s="20"/>
      <c r="V165" s="391"/>
      <c r="W165" s="297"/>
      <c r="X165" s="19"/>
      <c r="Y165" s="37"/>
      <c r="Z165" s="39"/>
      <c r="AA165" s="39"/>
      <c r="AB165" s="39"/>
      <c r="AC165" s="382"/>
      <c r="AD165" s="39"/>
    </row>
    <row r="166" spans="2:30" ht="15" thickTop="1" x14ac:dyDescent="0.35">
      <c r="B166" s="417"/>
      <c r="C166" s="277" t="s">
        <v>64</v>
      </c>
      <c r="D166" s="292" t="s">
        <v>65</v>
      </c>
      <c r="E166" s="395" t="s">
        <v>20</v>
      </c>
      <c r="F166" s="395" t="s">
        <v>38</v>
      </c>
      <c r="G166" s="268" t="s">
        <v>483</v>
      </c>
      <c r="H166" s="297"/>
      <c r="I166" s="34" t="s">
        <v>470</v>
      </c>
      <c r="J166" s="37"/>
      <c r="K166" s="61" t="s">
        <v>63</v>
      </c>
      <c r="L166" s="39"/>
      <c r="M166" s="39"/>
      <c r="N166" s="383">
        <f>SUM(N167:N171)</f>
        <v>0</v>
      </c>
      <c r="O166" s="63">
        <f t="shared" si="32"/>
        <v>0</v>
      </c>
      <c r="R166" s="277" t="s">
        <v>64</v>
      </c>
      <c r="S166" s="292" t="s">
        <v>65</v>
      </c>
      <c r="T166" s="395" t="s">
        <v>20</v>
      </c>
      <c r="U166" s="395" t="s">
        <v>38</v>
      </c>
      <c r="V166" s="268" t="s">
        <v>483</v>
      </c>
      <c r="W166" s="297"/>
      <c r="X166" s="34" t="s">
        <v>470</v>
      </c>
      <c r="Y166" s="37"/>
      <c r="Z166" s="61" t="s">
        <v>63</v>
      </c>
      <c r="AA166" s="39"/>
      <c r="AB166" s="39"/>
      <c r="AC166" s="383">
        <f>SUM(AC167:AC171)</f>
        <v>0</v>
      </c>
      <c r="AD166" s="63">
        <f t="shared" si="33"/>
        <v>0</v>
      </c>
    </row>
    <row r="167" spans="2:30" x14ac:dyDescent="0.35">
      <c r="B167" s="417"/>
      <c r="C167" s="278" t="s">
        <v>66</v>
      </c>
      <c r="D167" s="317"/>
      <c r="E167" s="16"/>
      <c r="F167" s="22"/>
      <c r="G167" s="269">
        <f>E167*F167/H$3</f>
        <v>0</v>
      </c>
      <c r="H167" s="297"/>
      <c r="I167" s="320">
        <v>0.03</v>
      </c>
      <c r="J167" s="37"/>
      <c r="K167" s="39"/>
      <c r="L167" s="39" t="s">
        <v>67</v>
      </c>
      <c r="M167" s="39"/>
      <c r="N167" s="382">
        <f>IF((H$134+E$137)=0,0,G167*(1-I$174)/(E$137/H$134))</f>
        <v>0</v>
      </c>
      <c r="O167" s="69">
        <f t="shared" si="32"/>
        <v>0</v>
      </c>
      <c r="R167" s="278" t="s">
        <v>66</v>
      </c>
      <c r="S167" s="317"/>
      <c r="T167" s="16"/>
      <c r="U167" s="22"/>
      <c r="V167" s="269">
        <f>T167*U167/W$3</f>
        <v>0</v>
      </c>
      <c r="W167" s="297"/>
      <c r="X167" s="320">
        <v>0.03</v>
      </c>
      <c r="Y167" s="37"/>
      <c r="Z167" s="39"/>
      <c r="AA167" s="39" t="s">
        <v>67</v>
      </c>
      <c r="AB167" s="39"/>
      <c r="AC167" s="382">
        <f>IF((W$134+T$137)=0,0,V167*(1-X$174)/(T$137/W$134))</f>
        <v>0</v>
      </c>
      <c r="AD167" s="69">
        <f t="shared" si="33"/>
        <v>0</v>
      </c>
    </row>
    <row r="168" spans="2:30" ht="15" thickBot="1" x14ac:dyDescent="0.4">
      <c r="B168" s="417"/>
      <c r="C168" s="279" t="s">
        <v>68</v>
      </c>
      <c r="D168" s="318"/>
      <c r="E168" s="16"/>
      <c r="F168" s="22"/>
      <c r="G168" s="269">
        <f>E168*F168/H$3</f>
        <v>0</v>
      </c>
      <c r="H168" s="297"/>
      <c r="I168" s="320">
        <v>0.01</v>
      </c>
      <c r="J168" s="37"/>
      <c r="K168" s="39"/>
      <c r="L168" s="39" t="s">
        <v>69</v>
      </c>
      <c r="M168" s="39"/>
      <c r="N168" s="382">
        <f>IF((H$134+E$137)=0,0,G168*(1-I$174)/(E$137/H$134))</f>
        <v>0</v>
      </c>
      <c r="O168" s="69">
        <f t="shared" si="32"/>
        <v>0</v>
      </c>
      <c r="R168" s="279" t="s">
        <v>68</v>
      </c>
      <c r="S168" s="318"/>
      <c r="T168" s="16"/>
      <c r="U168" s="22"/>
      <c r="V168" s="269">
        <f>T168*U168/W$3</f>
        <v>0</v>
      </c>
      <c r="W168" s="297"/>
      <c r="X168" s="320">
        <v>0.01</v>
      </c>
      <c r="Y168" s="37"/>
      <c r="Z168" s="39"/>
      <c r="AA168" s="39" t="s">
        <v>69</v>
      </c>
      <c r="AB168" s="39"/>
      <c r="AC168" s="382">
        <f>IF((W$134+T$137)=0,0,V168*(1-X$174)/(T$137/W$134))</f>
        <v>0</v>
      </c>
      <c r="AD168" s="69">
        <f t="shared" si="33"/>
        <v>0</v>
      </c>
    </row>
    <row r="169" spans="2:30" ht="15" thickTop="1" x14ac:dyDescent="0.35">
      <c r="B169" s="417"/>
      <c r="C169" s="276" t="s">
        <v>71</v>
      </c>
      <c r="D169" s="96"/>
      <c r="E169" s="36"/>
      <c r="F169" s="22"/>
      <c r="G169" s="269">
        <f>E169*F169</f>
        <v>0</v>
      </c>
      <c r="H169" s="297"/>
      <c r="I169" s="36">
        <f>(D168*I168+D167*I167)/H$3</f>
        <v>0</v>
      </c>
      <c r="J169" s="37"/>
      <c r="K169" s="39"/>
      <c r="L169" s="39" t="s">
        <v>71</v>
      </c>
      <c r="M169" s="39"/>
      <c r="N169" s="382">
        <f>IF((H$134+E$137)=0,0,G169*(1-I$174)/(E$137/H$134))</f>
        <v>0</v>
      </c>
      <c r="O169" s="69">
        <f t="shared" si="32"/>
        <v>0</v>
      </c>
      <c r="R169" s="276" t="s">
        <v>71</v>
      </c>
      <c r="S169" s="96"/>
      <c r="T169" s="36"/>
      <c r="U169" s="22"/>
      <c r="V169" s="269">
        <f>T169*U169</f>
        <v>0</v>
      </c>
      <c r="W169" s="297"/>
      <c r="X169" s="36">
        <f>(S168*X168+S167*X167)/W$3</f>
        <v>0</v>
      </c>
      <c r="Y169" s="37"/>
      <c r="Z169" s="39"/>
      <c r="AA169" s="39" t="s">
        <v>71</v>
      </c>
      <c r="AB169" s="39"/>
      <c r="AC169" s="382">
        <f>IF((W$134+T$137)=0,0,V169*(1-X$174)/(T$137/W$134))</f>
        <v>0</v>
      </c>
      <c r="AD169" s="69">
        <f t="shared" si="33"/>
        <v>0</v>
      </c>
    </row>
    <row r="170" spans="2:30" x14ac:dyDescent="0.35">
      <c r="B170" s="417"/>
      <c r="C170" s="14" t="s">
        <v>73</v>
      </c>
      <c r="D170" s="36"/>
      <c r="E170" s="16"/>
      <c r="F170" s="22"/>
      <c r="G170" s="269">
        <f>E170*F170</f>
        <v>0</v>
      </c>
      <c r="H170" s="297"/>
      <c r="I170" s="22">
        <v>0.05</v>
      </c>
      <c r="J170" s="37"/>
      <c r="K170" s="39"/>
      <c r="L170" s="39" t="s">
        <v>73</v>
      </c>
      <c r="M170" s="39"/>
      <c r="N170" s="382">
        <f>IF((H$134+E$137)=0,0,G170*(1-I$174)/(E$137/H$134))</f>
        <v>0</v>
      </c>
      <c r="O170" s="69">
        <f t="shared" si="32"/>
        <v>0</v>
      </c>
      <c r="R170" s="14" t="s">
        <v>73</v>
      </c>
      <c r="S170" s="36"/>
      <c r="T170" s="16"/>
      <c r="U170" s="22"/>
      <c r="V170" s="269">
        <f>T170*U170</f>
        <v>0</v>
      </c>
      <c r="W170" s="297"/>
      <c r="X170" s="22">
        <v>0.05</v>
      </c>
      <c r="Y170" s="37"/>
      <c r="Z170" s="39"/>
      <c r="AA170" s="39" t="s">
        <v>73</v>
      </c>
      <c r="AB170" s="39"/>
      <c r="AC170" s="382">
        <f>IF((W$134+T$137)=0,0,V170*(1-X$174)/(T$137/W$134))</f>
        <v>0</v>
      </c>
      <c r="AD170" s="69">
        <f t="shared" si="33"/>
        <v>0</v>
      </c>
    </row>
    <row r="171" spans="2:30" x14ac:dyDescent="0.35">
      <c r="B171" s="417"/>
      <c r="C171" s="14" t="s">
        <v>74</v>
      </c>
      <c r="D171" s="36"/>
      <c r="E171" s="36"/>
      <c r="F171" s="22"/>
      <c r="G171" s="269">
        <f>E171*F171</f>
        <v>0</v>
      </c>
      <c r="H171" s="297"/>
      <c r="I171" s="22">
        <v>0.06</v>
      </c>
      <c r="J171" s="37"/>
      <c r="K171" s="39"/>
      <c r="L171" s="39" t="s">
        <v>74</v>
      </c>
      <c r="M171" s="39"/>
      <c r="N171" s="382">
        <f>IF((H$134+E$137)=0,0,G171*(1-I$174)/(E$137/H$134))</f>
        <v>0</v>
      </c>
      <c r="O171" s="69">
        <f t="shared" si="32"/>
        <v>0</v>
      </c>
      <c r="R171" s="14" t="s">
        <v>74</v>
      </c>
      <c r="S171" s="36"/>
      <c r="T171" s="36"/>
      <c r="U171" s="22"/>
      <c r="V171" s="269">
        <f>T171*U171</f>
        <v>0</v>
      </c>
      <c r="W171" s="297"/>
      <c r="X171" s="22">
        <v>0.06</v>
      </c>
      <c r="Y171" s="37"/>
      <c r="Z171" s="39"/>
      <c r="AA171" s="39" t="s">
        <v>74</v>
      </c>
      <c r="AB171" s="39"/>
      <c r="AC171" s="382">
        <f>IF((W$134+T$137)=0,0,V171*(1-X$174)/(T$137/W$134))</f>
        <v>0</v>
      </c>
      <c r="AD171" s="69">
        <f t="shared" si="33"/>
        <v>0</v>
      </c>
    </row>
    <row r="172" spans="2:30" ht="15" thickBot="1" x14ac:dyDescent="0.4">
      <c r="B172" s="417"/>
      <c r="C172" s="39"/>
      <c r="D172" s="39"/>
      <c r="E172" s="39"/>
      <c r="F172" s="39"/>
      <c r="G172" s="89"/>
      <c r="H172" s="298"/>
      <c r="I172" s="39"/>
      <c r="J172" s="37"/>
      <c r="K172" s="39"/>
      <c r="L172" s="39"/>
      <c r="M172" s="39"/>
      <c r="N172" s="382"/>
      <c r="O172" s="39"/>
      <c r="Q172" s="80"/>
      <c r="R172" s="39"/>
      <c r="S172" s="39"/>
      <c r="T172" s="39"/>
      <c r="U172" s="39"/>
      <c r="V172" s="89"/>
      <c r="W172" s="298"/>
      <c r="X172" s="39"/>
      <c r="Y172" s="37"/>
      <c r="Z172" s="39"/>
      <c r="AA172" s="39"/>
      <c r="AB172" s="39"/>
      <c r="AC172" s="382"/>
      <c r="AD172" s="39"/>
    </row>
    <row r="173" spans="2:30" ht="15" thickBot="1" x14ac:dyDescent="0.4">
      <c r="B173" s="417"/>
      <c r="C173" s="39"/>
      <c r="D173" s="39"/>
      <c r="E173" s="39"/>
      <c r="F173" s="56" t="s">
        <v>485</v>
      </c>
      <c r="G173" s="271">
        <f>SUM(G145:G171)</f>
        <v>0</v>
      </c>
      <c r="H173" s="298"/>
      <c r="I173" s="39"/>
      <c r="J173" s="37"/>
      <c r="K173" s="61" t="s">
        <v>517</v>
      </c>
      <c r="L173" s="77"/>
      <c r="N173" s="383">
        <f>SUM(N146:N160,N162:N164,N167:N172)</f>
        <v>0</v>
      </c>
      <c r="O173" s="39"/>
      <c r="R173" s="39"/>
      <c r="S173" s="39"/>
      <c r="T173" s="39"/>
      <c r="U173" s="56" t="s">
        <v>485</v>
      </c>
      <c r="V173" s="271">
        <f>SUM(V145:V171)</f>
        <v>0</v>
      </c>
      <c r="W173" s="298"/>
      <c r="X173" s="39"/>
      <c r="Y173" s="37"/>
      <c r="Z173" s="61" t="s">
        <v>517</v>
      </c>
      <c r="AA173" s="77"/>
      <c r="AC173" s="383">
        <f>SUM(AC146:AC160,AC162:AC164,AC167:AC172)</f>
        <v>0</v>
      </c>
      <c r="AD173" s="39"/>
    </row>
    <row r="174" spans="2:30" ht="15" thickBot="1" x14ac:dyDescent="0.4">
      <c r="B174" s="417"/>
      <c r="C174" s="39"/>
      <c r="D174" s="39"/>
      <c r="E174" s="39"/>
      <c r="F174" s="56" t="s">
        <v>511</v>
      </c>
      <c r="G174" s="392">
        <f>G136+G138</f>
        <v>0</v>
      </c>
      <c r="H174" s="298"/>
      <c r="I174" s="381">
        <f>IF(G140=0,0,G174/G140)</f>
        <v>0</v>
      </c>
      <c r="J174" s="37"/>
      <c r="K174" s="61"/>
      <c r="L174" s="384" t="s">
        <v>513</v>
      </c>
      <c r="M174" s="127"/>
      <c r="N174" s="385"/>
      <c r="O174" s="37"/>
      <c r="R174" s="39"/>
      <c r="S174" s="39"/>
      <c r="T174" s="39"/>
      <c r="U174" s="56" t="s">
        <v>511</v>
      </c>
      <c r="V174" s="392">
        <f>V136+V138</f>
        <v>0</v>
      </c>
      <c r="W174" s="298"/>
      <c r="X174" s="381">
        <f>IF(V140=0,0,V174/V140)</f>
        <v>0</v>
      </c>
      <c r="Y174" s="37"/>
      <c r="Z174" s="61"/>
      <c r="AA174" s="384" t="s">
        <v>513</v>
      </c>
      <c r="AB174" s="127"/>
      <c r="AC174" s="385"/>
      <c r="AD174" s="37"/>
    </row>
    <row r="175" spans="2:30" ht="15" thickBot="1" x14ac:dyDescent="0.4">
      <c r="B175" s="417"/>
      <c r="C175" s="39"/>
      <c r="D175" s="39"/>
      <c r="E175" s="39"/>
      <c r="F175" s="56" t="s">
        <v>509</v>
      </c>
      <c r="G175" s="271">
        <f>G173-G174</f>
        <v>0</v>
      </c>
      <c r="H175" s="379"/>
      <c r="I175" s="380"/>
      <c r="J175" s="37"/>
      <c r="K175" s="61"/>
      <c r="L175" s="384" t="s">
        <v>507</v>
      </c>
      <c r="M175" s="127"/>
      <c r="N175" s="404">
        <f>N173-N146+I145</f>
        <v>0</v>
      </c>
      <c r="O175" s="37"/>
      <c r="R175" s="39"/>
      <c r="S175" s="39"/>
      <c r="T175" s="39"/>
      <c r="U175" s="56" t="s">
        <v>509</v>
      </c>
      <c r="V175" s="271">
        <f>V173-V174</f>
        <v>0</v>
      </c>
      <c r="W175" s="379"/>
      <c r="X175" s="380"/>
      <c r="Y175" s="37"/>
      <c r="Z175" s="61"/>
      <c r="AA175" s="384" t="s">
        <v>507</v>
      </c>
      <c r="AB175" s="127"/>
      <c r="AC175" s="404">
        <f>AC173-AC146+X145</f>
        <v>0</v>
      </c>
      <c r="AD175" s="37"/>
    </row>
    <row r="176" spans="2:30" x14ac:dyDescent="0.35">
      <c r="B176" s="417"/>
      <c r="C176" s="39"/>
      <c r="D176" s="39"/>
      <c r="E176" s="39"/>
      <c r="F176" s="39"/>
      <c r="G176" s="39"/>
      <c r="H176" s="39"/>
      <c r="I176" s="39"/>
      <c r="J176" s="37"/>
      <c r="K176" s="61"/>
      <c r="L176" s="37" t="str">
        <f>CONCATENATE('Säilörehun tuotantokustannus'!F136," €/kg ka eli ",I145," €/kpl")</f>
        <v xml:space="preserve"> €/kg ka eli 0 €/kpl</v>
      </c>
      <c r="M176" s="37"/>
      <c r="N176" s="386"/>
      <c r="O176" s="37"/>
      <c r="R176" s="39"/>
      <c r="S176" s="39"/>
      <c r="T176" s="39"/>
      <c r="U176" s="39"/>
      <c r="V176" s="39"/>
      <c r="W176" s="39"/>
      <c r="X176" s="39"/>
      <c r="Y176" s="37"/>
      <c r="Z176" s="61"/>
      <c r="AA176" s="37" t="str">
        <f>CONCATENATE('Säilörehun tuotantokustannus'!U136," €/kg ka eli ",X145," €/kpl")</f>
        <v xml:space="preserve"> €/kg ka eli 0 €/kpl</v>
      </c>
      <c r="AB176" s="37"/>
      <c r="AC176" s="386"/>
      <c r="AD176" s="37"/>
    </row>
    <row r="177" spans="1:31" x14ac:dyDescent="0.35">
      <c r="B177" s="417"/>
      <c r="C177" s="39"/>
      <c r="D177" s="39"/>
      <c r="E177" s="39"/>
      <c r="F177" s="39"/>
      <c r="G177" s="39"/>
      <c r="H177" s="39"/>
      <c r="I177" s="39"/>
      <c r="J177" s="37"/>
      <c r="K177" s="61"/>
      <c r="L177" s="77"/>
      <c r="M177" s="77"/>
      <c r="N177" s="62"/>
      <c r="O177" s="39"/>
      <c r="R177" s="39"/>
      <c r="S177" s="39"/>
      <c r="T177" s="39"/>
      <c r="U177" s="39"/>
      <c r="V177" s="39"/>
      <c r="W177" s="39"/>
      <c r="X177" s="39"/>
      <c r="Y177" s="37"/>
      <c r="Z177" s="61"/>
      <c r="AA177" s="77"/>
      <c r="AB177" s="77"/>
      <c r="AC177" s="62"/>
      <c r="AD177" s="39"/>
    </row>
    <row r="178" spans="1:31" s="396" customFormat="1" ht="27" customHeight="1" x14ac:dyDescent="0.35">
      <c r="A178" s="80"/>
      <c r="B178" s="80"/>
      <c r="C178" s="49"/>
      <c r="D178" s="49"/>
      <c r="E178" s="49"/>
      <c r="F178" s="49"/>
      <c r="G178" s="49"/>
      <c r="H178" s="49"/>
      <c r="I178" s="49"/>
      <c r="J178" s="80"/>
      <c r="K178" s="49"/>
      <c r="L178" s="49"/>
      <c r="M178" s="49"/>
      <c r="N178" s="49"/>
      <c r="O178" s="49"/>
      <c r="P178" s="49"/>
      <c r="Q178" s="80"/>
      <c r="R178" s="49"/>
      <c r="S178" s="49"/>
      <c r="T178" s="49"/>
      <c r="U178" s="49"/>
      <c r="V178" s="49"/>
      <c r="W178" s="49"/>
      <c r="X178" s="49"/>
      <c r="Y178" s="80"/>
      <c r="Z178" s="49"/>
      <c r="AA178" s="49"/>
      <c r="AB178" s="49"/>
      <c r="AC178" s="49"/>
      <c r="AD178" s="49"/>
      <c r="AE178" s="49"/>
    </row>
    <row r="179" spans="1:31" ht="27" customHeight="1" x14ac:dyDescent="0.35">
      <c r="A179" s="306"/>
      <c r="B179" s="608"/>
      <c r="C179" s="415"/>
      <c r="D179" s="415"/>
      <c r="E179" s="415"/>
      <c r="F179" s="609" t="s">
        <v>544</v>
      </c>
      <c r="G179" s="610" t="s">
        <v>41</v>
      </c>
      <c r="H179" s="608"/>
      <c r="I179" s="608"/>
      <c r="J179" s="608"/>
      <c r="K179" s="608"/>
      <c r="L179" s="608"/>
      <c r="M179" s="608"/>
      <c r="N179" s="608"/>
      <c r="O179" s="608"/>
      <c r="P179" s="306"/>
      <c r="Q179" s="306"/>
      <c r="R179" s="608"/>
      <c r="S179" s="608"/>
      <c r="T179" s="608"/>
      <c r="U179" s="609" t="str">
        <f>F179</f>
        <v>Sonninlihantuotanto,</v>
      </c>
      <c r="V179" s="610" t="s">
        <v>42</v>
      </c>
      <c r="W179" s="415"/>
      <c r="X179" s="415"/>
      <c r="Y179" s="611"/>
      <c r="Z179" s="415"/>
      <c r="AA179" s="415"/>
      <c r="AB179" s="415"/>
      <c r="AC179" s="415"/>
      <c r="AD179" s="415"/>
    </row>
    <row r="180" spans="1:31" ht="18.5" x14ac:dyDescent="0.45">
      <c r="B180" s="415"/>
      <c r="C180" s="575" t="s">
        <v>475</v>
      </c>
      <c r="D180" s="576"/>
      <c r="E180" s="576"/>
      <c r="F180" s="576"/>
      <c r="G180" s="577" t="s">
        <v>519</v>
      </c>
      <c r="H180" s="578">
        <v>50</v>
      </c>
      <c r="I180" s="579" t="s">
        <v>79</v>
      </c>
      <c r="J180" s="37"/>
      <c r="K180" s="39"/>
      <c r="L180" s="39"/>
      <c r="M180" s="39"/>
      <c r="N180" s="39"/>
      <c r="O180" s="39"/>
      <c r="R180" s="575" t="s">
        <v>475</v>
      </c>
      <c r="S180" s="576"/>
      <c r="T180" s="576"/>
      <c r="U180" s="576"/>
      <c r="V180" s="577" t="s">
        <v>519</v>
      </c>
      <c r="W180" s="578">
        <v>100</v>
      </c>
      <c r="X180" s="579" t="s">
        <v>79</v>
      </c>
      <c r="Y180" s="37"/>
      <c r="Z180" s="39"/>
      <c r="AA180" s="39"/>
      <c r="AB180" s="39"/>
      <c r="AC180" s="39"/>
      <c r="AD180" s="39"/>
    </row>
    <row r="181" spans="1:31" ht="22" x14ac:dyDescent="0.35">
      <c r="B181" s="415"/>
      <c r="C181" s="51" t="s">
        <v>77</v>
      </c>
      <c r="D181" s="294" t="s">
        <v>281</v>
      </c>
      <c r="E181" s="54" t="s">
        <v>490</v>
      </c>
      <c r="F181" s="316" t="s">
        <v>491</v>
      </c>
      <c r="G181" s="268" t="s">
        <v>82</v>
      </c>
      <c r="H181" s="184" t="s">
        <v>486</v>
      </c>
      <c r="I181" s="184"/>
      <c r="J181" s="37"/>
      <c r="K181" s="39"/>
      <c r="L181" s="39"/>
      <c r="M181" s="39"/>
      <c r="N181" s="39"/>
      <c r="O181" s="39"/>
      <c r="R181" s="51" t="s">
        <v>77</v>
      </c>
      <c r="S181" s="294" t="s">
        <v>281</v>
      </c>
      <c r="T181" s="54" t="s">
        <v>490</v>
      </c>
      <c r="U181" s="316" t="s">
        <v>491</v>
      </c>
      <c r="V181" s="268" t="s">
        <v>82</v>
      </c>
      <c r="W181" s="184" t="s">
        <v>486</v>
      </c>
      <c r="X181" s="184"/>
      <c r="Y181" s="37"/>
      <c r="Z181" s="39"/>
      <c r="AA181" s="39"/>
      <c r="AB181" s="39"/>
      <c r="AC181" s="39"/>
      <c r="AD181" s="39"/>
    </row>
    <row r="182" spans="1:31" x14ac:dyDescent="0.35">
      <c r="B182" s="415"/>
      <c r="C182" s="300" t="s">
        <v>522</v>
      </c>
      <c r="D182" s="36">
        <v>45000</v>
      </c>
      <c r="E182" s="36">
        <v>11250</v>
      </c>
      <c r="F182" s="124">
        <f>D182/E182</f>
        <v>4</v>
      </c>
      <c r="G182" s="269">
        <f>E182*F182/H180</f>
        <v>900</v>
      </c>
      <c r="H182" s="184" t="s">
        <v>4</v>
      </c>
      <c r="I182" s="220">
        <f>G182</f>
        <v>900</v>
      </c>
      <c r="J182" s="37"/>
      <c r="K182" s="39"/>
      <c r="L182" s="39"/>
      <c r="M182" s="39"/>
      <c r="N182" s="39"/>
      <c r="O182" s="39"/>
      <c r="R182" s="300" t="s">
        <v>522</v>
      </c>
      <c r="S182" s="36">
        <v>50000</v>
      </c>
      <c r="T182" s="36">
        <v>11250</v>
      </c>
      <c r="U182" s="124">
        <f>S182/T182</f>
        <v>4.4444444444444446</v>
      </c>
      <c r="V182" s="269">
        <f>T182*U182/W180</f>
        <v>500</v>
      </c>
      <c r="W182" s="184" t="s">
        <v>4</v>
      </c>
      <c r="X182" s="220">
        <f>V182</f>
        <v>500</v>
      </c>
      <c r="Y182" s="37"/>
      <c r="Z182" s="39"/>
      <c r="AA182" s="39"/>
      <c r="AB182" s="39"/>
      <c r="AC182" s="39"/>
      <c r="AD182" s="39"/>
    </row>
    <row r="183" spans="1:31" x14ac:dyDescent="0.35">
      <c r="B183" s="415"/>
      <c r="C183" s="300" t="s">
        <v>523</v>
      </c>
      <c r="D183" s="36">
        <v>12000</v>
      </c>
      <c r="E183" s="36">
        <v>3500</v>
      </c>
      <c r="F183" s="124">
        <f>D183/E183</f>
        <v>3.4285714285714284</v>
      </c>
      <c r="G183" s="269">
        <f>E183*F183/H180</f>
        <v>240</v>
      </c>
      <c r="H183" s="184" t="s">
        <v>5</v>
      </c>
      <c r="I183" s="220">
        <f>G183</f>
        <v>240</v>
      </c>
      <c r="J183" s="37"/>
      <c r="K183" s="39"/>
      <c r="L183" s="39"/>
      <c r="M183" s="39"/>
      <c r="N183" s="39"/>
      <c r="O183" s="39"/>
      <c r="R183" s="300" t="s">
        <v>523</v>
      </c>
      <c r="S183" s="36">
        <v>12000</v>
      </c>
      <c r="T183" s="36">
        <v>3500</v>
      </c>
      <c r="U183" s="124">
        <f>S183/T183</f>
        <v>3.4285714285714284</v>
      </c>
      <c r="V183" s="269">
        <f>T183*U183/W180</f>
        <v>120</v>
      </c>
      <c r="W183" s="184" t="s">
        <v>5</v>
      </c>
      <c r="X183" s="220">
        <f>V183</f>
        <v>120</v>
      </c>
      <c r="Y183" s="37"/>
      <c r="Z183" s="39"/>
      <c r="AA183" s="39"/>
      <c r="AB183" s="39"/>
      <c r="AC183" s="39"/>
      <c r="AD183" s="39"/>
    </row>
    <row r="184" spans="1:31" x14ac:dyDescent="0.35">
      <c r="B184" s="415"/>
      <c r="C184" s="301" t="s">
        <v>492</v>
      </c>
      <c r="D184" s="36"/>
      <c r="E184" s="304"/>
      <c r="F184" s="302"/>
      <c r="G184" s="269">
        <f>D184/H180</f>
        <v>0</v>
      </c>
      <c r="H184" s="184" t="s">
        <v>489</v>
      </c>
      <c r="I184" s="220">
        <f>G184</f>
        <v>0</v>
      </c>
      <c r="J184" s="37"/>
      <c r="K184" s="39"/>
      <c r="L184" s="39"/>
      <c r="M184" s="39"/>
      <c r="N184" s="39"/>
      <c r="O184" s="39"/>
      <c r="R184" s="301" t="s">
        <v>492</v>
      </c>
      <c r="S184" s="36"/>
      <c r="T184" s="304"/>
      <c r="U184" s="302"/>
      <c r="V184" s="269">
        <f>S184/W180</f>
        <v>0</v>
      </c>
      <c r="W184" s="184" t="s">
        <v>489</v>
      </c>
      <c r="X184" s="220">
        <f>V184</f>
        <v>0</v>
      </c>
      <c r="Y184" s="37"/>
      <c r="Z184" s="39"/>
      <c r="AA184" s="39"/>
      <c r="AB184" s="39"/>
      <c r="AC184" s="39"/>
      <c r="AD184" s="39"/>
    </row>
    <row r="185" spans="1:31" ht="15" thickBot="1" x14ac:dyDescent="0.4">
      <c r="B185" s="415"/>
      <c r="C185" s="301" t="s">
        <v>524</v>
      </c>
      <c r="D185" s="36">
        <v>10000</v>
      </c>
      <c r="E185" s="305"/>
      <c r="F185" s="303"/>
      <c r="G185" s="269">
        <f>D185/H180</f>
        <v>200</v>
      </c>
      <c r="H185" s="184" t="s">
        <v>465</v>
      </c>
      <c r="I185" s="220">
        <f>G185</f>
        <v>200</v>
      </c>
      <c r="J185" s="37"/>
      <c r="K185" s="39"/>
      <c r="L185" s="39"/>
      <c r="M185" s="39"/>
      <c r="N185" s="39"/>
      <c r="O185" s="39"/>
      <c r="R185" s="301" t="s">
        <v>524</v>
      </c>
      <c r="S185" s="36">
        <v>10000</v>
      </c>
      <c r="T185" s="305"/>
      <c r="U185" s="303"/>
      <c r="V185" s="269">
        <f>S185/W180</f>
        <v>100</v>
      </c>
      <c r="W185" s="184" t="s">
        <v>465</v>
      </c>
      <c r="X185" s="220">
        <f>V185</f>
        <v>100</v>
      </c>
      <c r="Y185" s="37"/>
      <c r="Z185" s="39"/>
      <c r="AA185" s="39"/>
      <c r="AB185" s="39"/>
      <c r="AC185" s="39"/>
      <c r="AD185" s="39"/>
    </row>
    <row r="186" spans="1:31" ht="15" thickBot="1" x14ac:dyDescent="0.4">
      <c r="B186" s="415"/>
      <c r="C186" s="77" t="s">
        <v>81</v>
      </c>
      <c r="D186" s="39"/>
      <c r="E186" s="37"/>
      <c r="F186" s="39"/>
      <c r="G186" s="271">
        <f>SUM(G182:G185)</f>
        <v>1340</v>
      </c>
      <c r="H186" s="257"/>
      <c r="I186" s="257"/>
      <c r="J186" s="37"/>
      <c r="K186" s="39"/>
      <c r="L186" s="39"/>
      <c r="M186" s="39"/>
      <c r="N186" s="39"/>
      <c r="O186" s="39"/>
      <c r="R186" s="77" t="s">
        <v>81</v>
      </c>
      <c r="S186" s="39"/>
      <c r="T186" s="37"/>
      <c r="U186" s="39"/>
      <c r="V186" s="271">
        <f>SUM(V182:V185)</f>
        <v>720</v>
      </c>
      <c r="W186" s="257"/>
      <c r="X186" s="257"/>
      <c r="Y186" s="37"/>
      <c r="Z186" s="39"/>
      <c r="AA186" s="39"/>
      <c r="AB186" s="39"/>
      <c r="AC186" s="39"/>
      <c r="AD186" s="39"/>
    </row>
    <row r="187" spans="1:31" x14ac:dyDescent="0.35">
      <c r="B187" s="415"/>
      <c r="C187" s="77"/>
      <c r="D187" s="39"/>
      <c r="E187" s="39"/>
      <c r="F187" s="39"/>
      <c r="G187" s="390"/>
      <c r="H187" s="257"/>
      <c r="I187" s="257"/>
      <c r="J187" s="37"/>
      <c r="K187" s="39"/>
      <c r="L187" s="39"/>
      <c r="M187" s="39"/>
      <c r="N187" s="39"/>
      <c r="O187" s="39"/>
      <c r="R187" s="77"/>
      <c r="S187" s="39"/>
      <c r="T187" s="39"/>
      <c r="U187" s="39"/>
      <c r="V187" s="390"/>
      <c r="W187" s="257"/>
      <c r="X187" s="257"/>
      <c r="Y187" s="37"/>
      <c r="Z187" s="39"/>
      <c r="AA187" s="39"/>
      <c r="AB187" s="39"/>
      <c r="AC187" s="39"/>
      <c r="AD187" s="39"/>
    </row>
    <row r="188" spans="1:31" ht="18.5" x14ac:dyDescent="0.45">
      <c r="B188" s="415"/>
      <c r="C188" s="575" t="s">
        <v>34</v>
      </c>
      <c r="D188" s="576"/>
      <c r="E188" s="576"/>
      <c r="F188" s="576"/>
      <c r="G188" s="577"/>
      <c r="H188" s="578"/>
      <c r="I188" s="579"/>
      <c r="J188" s="37"/>
      <c r="K188" s="569" t="s">
        <v>683</v>
      </c>
      <c r="L188" s="569"/>
      <c r="M188" s="569"/>
      <c r="N188" s="569"/>
      <c r="O188" s="569"/>
      <c r="R188" s="575" t="s">
        <v>34</v>
      </c>
      <c r="S188" s="576"/>
      <c r="T188" s="576"/>
      <c r="U188" s="576"/>
      <c r="V188" s="577"/>
      <c r="W188" s="578"/>
      <c r="X188" s="579"/>
      <c r="Y188" s="37"/>
      <c r="Z188" s="569" t="s">
        <v>683</v>
      </c>
      <c r="AA188" s="569"/>
      <c r="AB188" s="569"/>
      <c r="AC188" s="569"/>
      <c r="AD188" s="569"/>
    </row>
    <row r="189" spans="1:31" ht="15.5" x14ac:dyDescent="0.35">
      <c r="B189" s="415"/>
      <c r="C189" s="51" t="s">
        <v>35</v>
      </c>
      <c r="D189" s="19"/>
      <c r="E189" s="21"/>
      <c r="F189" s="19"/>
      <c r="G189" s="273"/>
      <c r="H189" s="295"/>
      <c r="I189" s="19"/>
      <c r="J189" s="37"/>
      <c r="K189" s="39"/>
      <c r="L189" s="39"/>
      <c r="M189" s="39"/>
      <c r="N189" s="39" t="s">
        <v>40</v>
      </c>
      <c r="O189" s="39"/>
      <c r="R189" s="51" t="s">
        <v>35</v>
      </c>
      <c r="S189" s="19"/>
      <c r="T189" s="21"/>
      <c r="U189" s="19"/>
      <c r="V189" s="273"/>
      <c r="W189" s="295"/>
      <c r="X189" s="19"/>
      <c r="Y189" s="37"/>
      <c r="Z189" s="39"/>
      <c r="AA189" s="39"/>
      <c r="AB189" s="39"/>
      <c r="AC189" s="39" t="s">
        <v>40</v>
      </c>
      <c r="AD189" s="39"/>
    </row>
    <row r="190" spans="1:31" ht="22" x14ac:dyDescent="0.35">
      <c r="B190" s="415"/>
      <c r="C190" s="44" t="s">
        <v>36</v>
      </c>
      <c r="D190" s="316" t="s">
        <v>37</v>
      </c>
      <c r="E190" s="122" t="s">
        <v>25</v>
      </c>
      <c r="F190" s="316" t="s">
        <v>38</v>
      </c>
      <c r="G190" s="268" t="s">
        <v>82</v>
      </c>
      <c r="H190" s="296" t="s">
        <v>505</v>
      </c>
      <c r="I190" s="19"/>
      <c r="J190" s="37"/>
      <c r="K190" s="39"/>
      <c r="L190" s="39"/>
      <c r="M190" s="39"/>
      <c r="N190" s="54" t="s">
        <v>669</v>
      </c>
      <c r="O190" s="50" t="s">
        <v>43</v>
      </c>
      <c r="R190" s="44" t="s">
        <v>36</v>
      </c>
      <c r="S190" s="316" t="s">
        <v>37</v>
      </c>
      <c r="T190" s="122" t="s">
        <v>25</v>
      </c>
      <c r="U190" s="316" t="s">
        <v>38</v>
      </c>
      <c r="V190" s="268" t="s">
        <v>82</v>
      </c>
      <c r="W190" s="296" t="s">
        <v>505</v>
      </c>
      <c r="X190" s="19"/>
      <c r="Y190" s="37"/>
      <c r="Z190" s="39"/>
      <c r="AA190" s="39"/>
      <c r="AB190" s="39"/>
      <c r="AC190" s="54" t="s">
        <v>669</v>
      </c>
      <c r="AD190" s="50" t="s">
        <v>43</v>
      </c>
    </row>
    <row r="191" spans="1:31" x14ac:dyDescent="0.35">
      <c r="B191" s="415"/>
      <c r="C191" s="14" t="s">
        <v>476</v>
      </c>
      <c r="D191" s="36">
        <v>640000</v>
      </c>
      <c r="E191" s="124">
        <v>0.11340826231060606</v>
      </c>
      <c r="F191" s="22">
        <v>0.28000000000000003</v>
      </c>
      <c r="G191" s="269">
        <f>D191*E191*F191/H180</f>
        <v>406.45521212121218</v>
      </c>
      <c r="H191" s="387">
        <f>'Säilörehun tuotantokustannus'!$N$5</f>
        <v>0.12</v>
      </c>
      <c r="I191" s="387">
        <f>IF(E182=0,0,ROUNDUP(D191*H191*F191/E182*I220,3))</f>
        <v>0.34300000000000003</v>
      </c>
      <c r="J191" s="37"/>
      <c r="K191" s="61" t="s">
        <v>35</v>
      </c>
      <c r="L191" s="39"/>
      <c r="M191" s="39"/>
      <c r="N191" s="383">
        <f>SUM(N192:N205)</f>
        <v>186.69792046337557</v>
      </c>
      <c r="O191" s="63">
        <f>IF(N$219=0,0,N191/N$219)</f>
        <v>0.66863447258495678</v>
      </c>
      <c r="R191" s="14" t="s">
        <v>476</v>
      </c>
      <c r="S191" s="36">
        <v>640000</v>
      </c>
      <c r="T191" s="124">
        <v>0.1</v>
      </c>
      <c r="U191" s="22">
        <v>0.28000000000000003</v>
      </c>
      <c r="V191" s="269">
        <f>S191*T191*U191/W180</f>
        <v>179.2</v>
      </c>
      <c r="W191" s="387">
        <f>'Säilörehun tuotantokustannus'!$N$5</f>
        <v>0.12</v>
      </c>
      <c r="X191" s="387">
        <f>IF(T182=0,0,ROUNDUP(S191*W191*U191/T182*X220,3))</f>
        <v>0.31900000000000001</v>
      </c>
      <c r="Y191" s="37"/>
      <c r="Z191" s="61" t="s">
        <v>35</v>
      </c>
      <c r="AA191" s="39"/>
      <c r="AB191" s="39"/>
      <c r="AC191" s="383">
        <f>SUM(AC192:AC205)</f>
        <v>171.71899415834076</v>
      </c>
      <c r="AD191" s="63">
        <f>IF(AC$219=0,0,AC191/AC$219)</f>
        <v>0.42488214000650926</v>
      </c>
    </row>
    <row r="192" spans="1:31" x14ac:dyDescent="0.35">
      <c r="B192" s="415"/>
      <c r="C192" s="14" t="s">
        <v>477</v>
      </c>
      <c r="D192" s="36">
        <v>32680</v>
      </c>
      <c r="E192" s="394">
        <v>0.16</v>
      </c>
      <c r="F192" s="22">
        <f>F$191</f>
        <v>0.28000000000000003</v>
      </c>
      <c r="G192" s="269">
        <f>D192*E192*F192/H180</f>
        <v>29.281280000000002</v>
      </c>
      <c r="H192" s="297"/>
      <c r="I192" s="19"/>
      <c r="J192" s="37"/>
      <c r="K192" s="39"/>
      <c r="L192" s="68" t="str">
        <f>C191</f>
        <v xml:space="preserve">   Säilörehu</v>
      </c>
      <c r="M192" s="39"/>
      <c r="N192" s="529">
        <f>G191*(1-I$220)/(E$182/H$180)*100</f>
        <v>148.2921171918187</v>
      </c>
      <c r="O192" s="69">
        <f t="shared" ref="O192:O217" si="40">IF(N$219=0,0,N192/N$219)</f>
        <v>0.53108905188105271</v>
      </c>
      <c r="R192" s="14" t="s">
        <v>477</v>
      </c>
      <c r="S192" s="36">
        <v>32680</v>
      </c>
      <c r="T192" s="394">
        <v>0.16</v>
      </c>
      <c r="U192" s="22">
        <f>U$191</f>
        <v>0.28000000000000003</v>
      </c>
      <c r="V192" s="269">
        <f>S192*T192*U192/W180</f>
        <v>14.640640000000001</v>
      </c>
      <c r="W192" s="297"/>
      <c r="X192" s="19"/>
      <c r="Y192" s="37"/>
      <c r="Z192" s="39"/>
      <c r="AA192" s="68" t="str">
        <f>R191</f>
        <v xml:space="preserve">   Säilörehu</v>
      </c>
      <c r="AB192" s="39"/>
      <c r="AC192" s="529">
        <f>V191*(1-X$220)/(T$182/W$180)*100</f>
        <v>132.74074074074076</v>
      </c>
      <c r="AD192" s="69">
        <f t="shared" ref="AD192:AD217" si="41">IF(AC$219=0,0,AC192/AC$219)</f>
        <v>0.32843873951398717</v>
      </c>
    </row>
    <row r="193" spans="2:30" x14ac:dyDescent="0.35">
      <c r="B193" s="415"/>
      <c r="C193" s="14" t="s">
        <v>478</v>
      </c>
      <c r="D193" s="36">
        <v>0</v>
      </c>
      <c r="E193" s="394">
        <v>0.12</v>
      </c>
      <c r="F193" s="22">
        <f>F$191</f>
        <v>0.28000000000000003</v>
      </c>
      <c r="G193" s="269">
        <f>D193*E193*F193/H180</f>
        <v>0</v>
      </c>
      <c r="H193" s="297"/>
      <c r="I193" s="19"/>
      <c r="J193" s="37"/>
      <c r="K193" s="39"/>
      <c r="L193" s="68" t="str">
        <f>C192</f>
        <v xml:space="preserve">   Rehuvilja</v>
      </c>
      <c r="M193" s="39"/>
      <c r="N193" s="529">
        <f>G192*(1-I$220)/(E$182/H$180)*100</f>
        <v>10.683054063018243</v>
      </c>
      <c r="O193" s="69">
        <f t="shared" si="40"/>
        <v>3.8259977407857811E-2</v>
      </c>
      <c r="R193" s="14" t="s">
        <v>478</v>
      </c>
      <c r="S193" s="36">
        <v>0</v>
      </c>
      <c r="T193" s="394">
        <v>0.12</v>
      </c>
      <c r="U193" s="22">
        <f>U$191</f>
        <v>0.28000000000000003</v>
      </c>
      <c r="V193" s="269">
        <f>S193*T193*U193/W180</f>
        <v>0</v>
      </c>
      <c r="W193" s="297"/>
      <c r="X193" s="19"/>
      <c r="Y193" s="37"/>
      <c r="Z193" s="39"/>
      <c r="AA193" s="68" t="str">
        <f>R192</f>
        <v xml:space="preserve">   Rehuvilja</v>
      </c>
      <c r="AB193" s="39"/>
      <c r="AC193" s="529">
        <f>V192*(1-X$220)/(T$182/W$180)*100</f>
        <v>10.844918518518519</v>
      </c>
      <c r="AD193" s="69">
        <f t="shared" si="41"/>
        <v>2.6833445018292747E-2</v>
      </c>
    </row>
    <row r="194" spans="2:30" x14ac:dyDescent="0.35">
      <c r="B194" s="415"/>
      <c r="C194" s="14" t="s">
        <v>479</v>
      </c>
      <c r="D194" s="36">
        <v>0</v>
      </c>
      <c r="E194" s="394">
        <v>0.12</v>
      </c>
      <c r="F194" s="22">
        <f>F$191</f>
        <v>0.28000000000000003</v>
      </c>
      <c r="G194" s="269">
        <f>D194*E194*F194/H180</f>
        <v>0</v>
      </c>
      <c r="H194" s="297"/>
      <c r="I194" s="19"/>
      <c r="J194" s="37"/>
      <c r="K194" s="39"/>
      <c r="L194" s="68" t="str">
        <f>C193</f>
        <v xml:space="preserve">   Kokoviljasäilörehu</v>
      </c>
      <c r="M194" s="39"/>
      <c r="N194" s="529">
        <f>G193*(1-I$220)/(E$182/H$180)*100</f>
        <v>0</v>
      </c>
      <c r="O194" s="69">
        <f t="shared" si="40"/>
        <v>0</v>
      </c>
      <c r="R194" s="14" t="s">
        <v>479</v>
      </c>
      <c r="S194" s="36">
        <v>0</v>
      </c>
      <c r="T194" s="394">
        <v>0.12</v>
      </c>
      <c r="U194" s="22">
        <f>U$191</f>
        <v>0.28000000000000003</v>
      </c>
      <c r="V194" s="269">
        <f>S194*T194*U194/W180</f>
        <v>0</v>
      </c>
      <c r="W194" s="297"/>
      <c r="X194" s="19"/>
      <c r="Y194" s="37"/>
      <c r="Z194" s="39"/>
      <c r="AA194" s="68" t="str">
        <f>R193</f>
        <v xml:space="preserve">   Kokoviljasäilörehu</v>
      </c>
      <c r="AB194" s="39"/>
      <c r="AC194" s="529">
        <f>V193*(1-X$220)/(T$182/W$180)*100</f>
        <v>0</v>
      </c>
      <c r="AD194" s="69">
        <f t="shared" si="41"/>
        <v>0</v>
      </c>
    </row>
    <row r="195" spans="2:30" x14ac:dyDescent="0.35">
      <c r="B195" s="415"/>
      <c r="C195" s="14" t="s">
        <v>480</v>
      </c>
      <c r="D195" s="36">
        <v>0</v>
      </c>
      <c r="E195" s="394">
        <v>0.12</v>
      </c>
      <c r="F195" s="22">
        <f>F$191</f>
        <v>0.28000000000000003</v>
      </c>
      <c r="G195" s="269">
        <f>D195*E195*F195/H180</f>
        <v>0</v>
      </c>
      <c r="H195" s="297"/>
      <c r="I195" s="19"/>
      <c r="J195" s="37"/>
      <c r="K195" s="39"/>
      <c r="L195" s="68" t="str">
        <f>C194</f>
        <v xml:space="preserve">   Laidun</v>
      </c>
      <c r="M195" s="39"/>
      <c r="N195" s="529">
        <f>G194*(1-I$220)/(E$182/H$180)*100</f>
        <v>0</v>
      </c>
      <c r="O195" s="69">
        <f t="shared" si="40"/>
        <v>0</v>
      </c>
      <c r="R195" s="14" t="s">
        <v>480</v>
      </c>
      <c r="S195" s="36">
        <v>0</v>
      </c>
      <c r="T195" s="394">
        <v>0.12</v>
      </c>
      <c r="U195" s="22">
        <f>U$191</f>
        <v>0.28000000000000003</v>
      </c>
      <c r="V195" s="269">
        <f>S195*T195*U195/W180</f>
        <v>0</v>
      </c>
      <c r="W195" s="297"/>
      <c r="X195" s="19"/>
      <c r="Y195" s="37"/>
      <c r="Z195" s="39"/>
      <c r="AA195" s="68" t="str">
        <f>R194</f>
        <v xml:space="preserve">   Laidun</v>
      </c>
      <c r="AB195" s="39"/>
      <c r="AC195" s="529">
        <f>V194*(1-X$220)/(T$182/W$180)*100</f>
        <v>0</v>
      </c>
      <c r="AD195" s="69">
        <f t="shared" si="41"/>
        <v>0</v>
      </c>
    </row>
    <row r="196" spans="2:30" x14ac:dyDescent="0.35">
      <c r="B196" s="415"/>
      <c r="C196" s="39"/>
      <c r="D196" s="39"/>
      <c r="E196" s="395" t="s">
        <v>75</v>
      </c>
      <c r="F196" s="395" t="s">
        <v>38</v>
      </c>
      <c r="G196" s="268" t="s">
        <v>82</v>
      </c>
      <c r="H196" s="297"/>
      <c r="I196" s="19"/>
      <c r="J196" s="37"/>
      <c r="K196" s="39"/>
      <c r="L196" s="68" t="str">
        <f>C195</f>
        <v xml:space="preserve">   Muut korsirehut</v>
      </c>
      <c r="M196" s="39"/>
      <c r="N196" s="529">
        <f>G195*(1-I$220)/(E$182/H$180)*100</f>
        <v>0</v>
      </c>
      <c r="O196" s="69">
        <f t="shared" si="40"/>
        <v>0</v>
      </c>
      <c r="R196" s="39"/>
      <c r="S196" s="39"/>
      <c r="T196" s="395" t="s">
        <v>75</v>
      </c>
      <c r="U196" s="395" t="s">
        <v>38</v>
      </c>
      <c r="V196" s="268" t="s">
        <v>82</v>
      </c>
      <c r="W196" s="297"/>
      <c r="X196" s="19"/>
      <c r="Y196" s="37"/>
      <c r="Z196" s="39"/>
      <c r="AA196" s="68" t="str">
        <f>R195</f>
        <v xml:space="preserve">   Muut korsirehut</v>
      </c>
      <c r="AB196" s="39"/>
      <c r="AC196" s="529">
        <f>V195*(1-X$220)/(T$182/W$180)*100</f>
        <v>0</v>
      </c>
      <c r="AD196" s="69">
        <f t="shared" si="41"/>
        <v>0</v>
      </c>
    </row>
    <row r="197" spans="2:30" x14ac:dyDescent="0.35">
      <c r="B197" s="415"/>
      <c r="C197" s="314" t="s">
        <v>47</v>
      </c>
      <c r="D197" s="315"/>
      <c r="E197" s="36">
        <v>1200</v>
      </c>
      <c r="F197" s="22">
        <f t="shared" ref="F197:F205" si="42">F$191</f>
        <v>0.28000000000000003</v>
      </c>
      <c r="G197" s="269">
        <f>E197*F197/H180</f>
        <v>6.7200000000000015</v>
      </c>
      <c r="H197" s="297"/>
      <c r="I197" s="19"/>
      <c r="J197" s="37"/>
      <c r="K197" s="39"/>
      <c r="L197" s="68" t="str">
        <f t="shared" ref="L197:L205" si="43">C197</f>
        <v>Ostorehut</v>
      </c>
      <c r="M197" s="39"/>
      <c r="N197" s="529">
        <f>G197*(1-I$220)/(E$182/H$180)*100</f>
        <v>2.451741293532339</v>
      </c>
      <c r="O197" s="69">
        <f t="shared" si="40"/>
        <v>8.7805945703468054E-3</v>
      </c>
      <c r="R197" s="314" t="s">
        <v>47</v>
      </c>
      <c r="S197" s="315"/>
      <c r="T197" s="36">
        <v>1200</v>
      </c>
      <c r="U197" s="22">
        <f t="shared" ref="U197:U205" si="44">U$191</f>
        <v>0.28000000000000003</v>
      </c>
      <c r="V197" s="269">
        <f>T197*U197/W180</f>
        <v>3.3600000000000008</v>
      </c>
      <c r="W197" s="297"/>
      <c r="X197" s="19"/>
      <c r="Y197" s="37"/>
      <c r="Z197" s="39"/>
      <c r="AA197" s="68" t="str">
        <f t="shared" ref="AA197:AA205" si="45">R197</f>
        <v>Ostorehut</v>
      </c>
      <c r="AB197" s="39"/>
      <c r="AC197" s="529">
        <f>V197*(1-X$220)/(T$182/W$180)*100</f>
        <v>2.4888888888888894</v>
      </c>
      <c r="AD197" s="69">
        <f t="shared" si="41"/>
        <v>6.1582263658872599E-3</v>
      </c>
    </row>
    <row r="198" spans="2:30" x14ac:dyDescent="0.35">
      <c r="B198" s="415"/>
      <c r="C198" s="877" t="s">
        <v>72</v>
      </c>
      <c r="D198" s="878"/>
      <c r="E198" s="36">
        <v>1550</v>
      </c>
      <c r="F198" s="22">
        <f t="shared" si="42"/>
        <v>0.28000000000000003</v>
      </c>
      <c r="G198" s="269">
        <f>E198*F198/H180</f>
        <v>8.6800000000000015</v>
      </c>
      <c r="H198" s="297"/>
      <c r="I198" s="19"/>
      <c r="J198" s="37"/>
      <c r="K198" s="39"/>
      <c r="L198" s="68" t="str">
        <f t="shared" si="43"/>
        <v>Kivennäiset</v>
      </c>
      <c r="M198" s="39"/>
      <c r="N198" s="529">
        <f t="shared" ref="N198:N205" si="46">G198*(1-I$220)/(E$182/H$180)*100</f>
        <v>3.1668325041459373</v>
      </c>
      <c r="O198" s="69">
        <f t="shared" si="40"/>
        <v>1.1341601320031289E-2</v>
      </c>
      <c r="R198" s="877" t="s">
        <v>72</v>
      </c>
      <c r="S198" s="878"/>
      <c r="T198" s="36">
        <v>1550</v>
      </c>
      <c r="U198" s="22">
        <f t="shared" si="44"/>
        <v>0.28000000000000003</v>
      </c>
      <c r="V198" s="269">
        <f>T198*U198/W180</f>
        <v>4.3400000000000007</v>
      </c>
      <c r="W198" s="297"/>
      <c r="X198" s="19"/>
      <c r="Y198" s="37"/>
      <c r="Z198" s="39"/>
      <c r="AA198" s="68" t="str">
        <f t="shared" si="45"/>
        <v>Kivennäiset</v>
      </c>
      <c r="AB198" s="39"/>
      <c r="AC198" s="529">
        <f t="shared" ref="AC198:AC205" si="47">V198*(1-X$220)/(T$182/W$180)*100</f>
        <v>3.2148148148148157</v>
      </c>
      <c r="AD198" s="69">
        <f t="shared" si="41"/>
        <v>7.954375722604377E-3</v>
      </c>
    </row>
    <row r="199" spans="2:30" x14ac:dyDescent="0.35">
      <c r="B199" s="415"/>
      <c r="C199" s="877" t="s">
        <v>481</v>
      </c>
      <c r="D199" s="878"/>
      <c r="E199" s="36">
        <v>4000</v>
      </c>
      <c r="F199" s="22">
        <f t="shared" si="42"/>
        <v>0.28000000000000003</v>
      </c>
      <c r="G199" s="269">
        <f>E199*F199/H180</f>
        <v>22.4</v>
      </c>
      <c r="H199" s="297"/>
      <c r="I199" s="19"/>
      <c r="J199" s="37"/>
      <c r="K199" s="39"/>
      <c r="L199" s="68" t="str">
        <f t="shared" si="43"/>
        <v>Lääkintä</v>
      </c>
      <c r="M199" s="39"/>
      <c r="N199" s="529">
        <f t="shared" si="46"/>
        <v>8.1724709784411278</v>
      </c>
      <c r="O199" s="69">
        <f t="shared" si="40"/>
        <v>2.9268648567822679E-2</v>
      </c>
      <c r="R199" s="877" t="s">
        <v>481</v>
      </c>
      <c r="S199" s="878"/>
      <c r="T199" s="36">
        <v>4000</v>
      </c>
      <c r="U199" s="22">
        <f t="shared" si="44"/>
        <v>0.28000000000000003</v>
      </c>
      <c r="V199" s="269">
        <f>T199*U199/W180</f>
        <v>11.2</v>
      </c>
      <c r="W199" s="297"/>
      <c r="X199" s="19"/>
      <c r="Y199" s="37"/>
      <c r="Z199" s="39"/>
      <c r="AA199" s="68" t="str">
        <f t="shared" si="45"/>
        <v>Lääkintä</v>
      </c>
      <c r="AB199" s="39"/>
      <c r="AC199" s="529">
        <f t="shared" si="47"/>
        <v>8.2962962962962976</v>
      </c>
      <c r="AD199" s="69">
        <f t="shared" si="41"/>
        <v>2.0527421219624198E-2</v>
      </c>
    </row>
    <row r="200" spans="2:30" x14ac:dyDescent="0.35">
      <c r="B200" s="415"/>
      <c r="C200" s="877" t="s">
        <v>482</v>
      </c>
      <c r="D200" s="878"/>
      <c r="E200" s="36">
        <v>1700</v>
      </c>
      <c r="F200" s="22">
        <f t="shared" si="42"/>
        <v>0.28000000000000003</v>
      </c>
      <c r="G200" s="269">
        <f>E200*F200/H180</f>
        <v>9.5200000000000014</v>
      </c>
      <c r="H200" s="297"/>
      <c r="I200" s="19"/>
      <c r="J200" s="37"/>
      <c r="K200" s="39"/>
      <c r="L200" s="68" t="str">
        <f t="shared" si="43"/>
        <v>Siemennys, jalostus ym.</v>
      </c>
      <c r="M200" s="39"/>
      <c r="N200" s="529">
        <f t="shared" si="46"/>
        <v>3.4733001658374798</v>
      </c>
      <c r="O200" s="69">
        <f t="shared" si="40"/>
        <v>1.2439175641324639E-2</v>
      </c>
      <c r="R200" s="877" t="s">
        <v>482</v>
      </c>
      <c r="S200" s="878"/>
      <c r="T200" s="36">
        <v>1700</v>
      </c>
      <c r="U200" s="22">
        <f t="shared" si="44"/>
        <v>0.28000000000000003</v>
      </c>
      <c r="V200" s="269">
        <f>T200*U200/W180</f>
        <v>4.7600000000000007</v>
      </c>
      <c r="W200" s="297"/>
      <c r="X200" s="19"/>
      <c r="Y200" s="37"/>
      <c r="Z200" s="39"/>
      <c r="AA200" s="68" t="str">
        <f t="shared" si="45"/>
        <v>Siemennys, jalostus ym.</v>
      </c>
      <c r="AB200" s="39"/>
      <c r="AC200" s="529">
        <f t="shared" si="47"/>
        <v>3.5259259259259261</v>
      </c>
      <c r="AD200" s="69">
        <f t="shared" si="41"/>
        <v>8.7241540183402837E-3</v>
      </c>
    </row>
    <row r="201" spans="2:30" x14ac:dyDescent="0.35">
      <c r="B201" s="415"/>
      <c r="C201" s="877" t="s">
        <v>49</v>
      </c>
      <c r="D201" s="878"/>
      <c r="E201" s="36">
        <v>2000</v>
      </c>
      <c r="F201" s="22">
        <f t="shared" si="42"/>
        <v>0.28000000000000003</v>
      </c>
      <c r="G201" s="269">
        <f>E201*F201/H180</f>
        <v>11.2</v>
      </c>
      <c r="H201" s="297"/>
      <c r="I201" s="19"/>
      <c r="J201" s="37"/>
      <c r="K201" s="39"/>
      <c r="L201" s="68" t="str">
        <f t="shared" si="43"/>
        <v>Kuivikkeet</v>
      </c>
      <c r="M201" s="39"/>
      <c r="N201" s="529">
        <f t="shared" si="46"/>
        <v>4.0862354892205639</v>
      </c>
      <c r="O201" s="69">
        <f t="shared" si="40"/>
        <v>1.463432428391134E-2</v>
      </c>
      <c r="R201" s="877" t="s">
        <v>49</v>
      </c>
      <c r="S201" s="878"/>
      <c r="T201" s="36">
        <v>2000</v>
      </c>
      <c r="U201" s="22">
        <f t="shared" si="44"/>
        <v>0.28000000000000003</v>
      </c>
      <c r="V201" s="269">
        <f>T201*U201/W180</f>
        <v>5.6</v>
      </c>
      <c r="W201" s="297"/>
      <c r="X201" s="19"/>
      <c r="Y201" s="37"/>
      <c r="Z201" s="39"/>
      <c r="AA201" s="68" t="str">
        <f t="shared" si="45"/>
        <v>Kuivikkeet</v>
      </c>
      <c r="AB201" s="39"/>
      <c r="AC201" s="529">
        <f t="shared" si="47"/>
        <v>4.1481481481481488</v>
      </c>
      <c r="AD201" s="69">
        <f t="shared" si="41"/>
        <v>1.0263710609812099E-2</v>
      </c>
    </row>
    <row r="202" spans="2:30" x14ac:dyDescent="0.35">
      <c r="B202" s="415"/>
      <c r="C202" s="879" t="s">
        <v>50</v>
      </c>
      <c r="D202" s="875"/>
      <c r="E202" s="36">
        <v>1000</v>
      </c>
      <c r="F202" s="22">
        <f t="shared" si="42"/>
        <v>0.28000000000000003</v>
      </c>
      <c r="G202" s="269">
        <f>E202*F202/H180</f>
        <v>5.6</v>
      </c>
      <c r="H202" s="297"/>
      <c r="I202" s="19"/>
      <c r="J202" s="37"/>
      <c r="K202" s="39"/>
      <c r="L202" s="282" t="str">
        <f t="shared" si="43"/>
        <v>Muut muuttuvat kustannukset</v>
      </c>
      <c r="M202" s="39"/>
      <c r="N202" s="529">
        <f t="shared" si="46"/>
        <v>2.0431177446102819</v>
      </c>
      <c r="O202" s="69">
        <f t="shared" si="40"/>
        <v>7.3171621419556698E-3</v>
      </c>
      <c r="R202" s="879" t="s">
        <v>50</v>
      </c>
      <c r="S202" s="875"/>
      <c r="T202" s="36">
        <v>1000</v>
      </c>
      <c r="U202" s="22">
        <f t="shared" si="44"/>
        <v>0.28000000000000003</v>
      </c>
      <c r="V202" s="269">
        <f>T202*U202/W180</f>
        <v>2.8</v>
      </c>
      <c r="W202" s="297"/>
      <c r="X202" s="19"/>
      <c r="Y202" s="37"/>
      <c r="Z202" s="39"/>
      <c r="AA202" s="282" t="str">
        <f t="shared" si="45"/>
        <v>Muut muuttuvat kustannukset</v>
      </c>
      <c r="AB202" s="39"/>
      <c r="AC202" s="529">
        <f t="shared" si="47"/>
        <v>2.0740740740740744</v>
      </c>
      <c r="AD202" s="69">
        <f t="shared" si="41"/>
        <v>5.1318553049060495E-3</v>
      </c>
    </row>
    <row r="203" spans="2:30" x14ac:dyDescent="0.35">
      <c r="B203" s="415"/>
      <c r="C203" s="877" t="s">
        <v>51</v>
      </c>
      <c r="D203" s="878"/>
      <c r="E203" s="36">
        <v>2000</v>
      </c>
      <c r="F203" s="22">
        <f t="shared" si="42"/>
        <v>0.28000000000000003</v>
      </c>
      <c r="G203" s="269">
        <f>E203*F203/H180</f>
        <v>11.2</v>
      </c>
      <c r="H203" s="297"/>
      <c r="I203" s="19"/>
      <c r="J203" s="37"/>
      <c r="K203" s="39"/>
      <c r="L203" s="68" t="str">
        <f t="shared" si="43"/>
        <v>Eläinten ostot</v>
      </c>
      <c r="M203" s="39"/>
      <c r="N203" s="529">
        <f t="shared" si="46"/>
        <v>4.0862354892205639</v>
      </c>
      <c r="O203" s="69">
        <f t="shared" si="40"/>
        <v>1.463432428391134E-2</v>
      </c>
      <c r="R203" s="877" t="s">
        <v>51</v>
      </c>
      <c r="S203" s="878"/>
      <c r="T203" s="36">
        <v>2000</v>
      </c>
      <c r="U203" s="22">
        <f t="shared" si="44"/>
        <v>0.28000000000000003</v>
      </c>
      <c r="V203" s="269">
        <f>T203*U203/W180</f>
        <v>5.6</v>
      </c>
      <c r="W203" s="297"/>
      <c r="X203" s="19"/>
      <c r="Y203" s="37"/>
      <c r="Z203" s="39"/>
      <c r="AA203" s="68" t="str">
        <f t="shared" si="45"/>
        <v>Eläinten ostot</v>
      </c>
      <c r="AB203" s="39"/>
      <c r="AC203" s="529">
        <f t="shared" si="47"/>
        <v>4.1481481481481488</v>
      </c>
      <c r="AD203" s="69">
        <f t="shared" si="41"/>
        <v>1.0263710609812099E-2</v>
      </c>
    </row>
    <row r="204" spans="2:30" x14ac:dyDescent="0.35">
      <c r="B204" s="415"/>
      <c r="C204" s="291" t="s">
        <v>52</v>
      </c>
      <c r="D204" s="36">
        <f>E203</f>
        <v>2000</v>
      </c>
      <c r="E204" s="36">
        <f>D204*I216</f>
        <v>100</v>
      </c>
      <c r="F204" s="22">
        <f t="shared" si="42"/>
        <v>0.28000000000000003</v>
      </c>
      <c r="G204" s="269">
        <f>E204*F204/H180</f>
        <v>0.56000000000000005</v>
      </c>
      <c r="H204" s="297"/>
      <c r="I204" s="19"/>
      <c r="J204" s="37"/>
      <c r="K204" s="39"/>
      <c r="L204" s="68" t="str">
        <f t="shared" si="43"/>
        <v>Eläinpääoman korko</v>
      </c>
      <c r="M204" s="55"/>
      <c r="N204" s="529">
        <f t="shared" si="46"/>
        <v>0.20431177446102824</v>
      </c>
      <c r="O204" s="69">
        <f t="shared" si="40"/>
        <v>7.3171621419556719E-4</v>
      </c>
      <c r="R204" s="291" t="s">
        <v>52</v>
      </c>
      <c r="S204" s="36">
        <f>T203</f>
        <v>2000</v>
      </c>
      <c r="T204" s="36">
        <f>S204*X216</f>
        <v>100</v>
      </c>
      <c r="U204" s="22">
        <f t="shared" si="44"/>
        <v>0.28000000000000003</v>
      </c>
      <c r="V204" s="269">
        <f>T204*U204/W180</f>
        <v>0.28000000000000003</v>
      </c>
      <c r="W204" s="297"/>
      <c r="X204" s="19"/>
      <c r="Y204" s="37"/>
      <c r="Z204" s="39"/>
      <c r="AA204" s="68" t="str">
        <f t="shared" si="45"/>
        <v>Eläinpääoman korko</v>
      </c>
      <c r="AB204" s="55"/>
      <c r="AC204" s="529">
        <f t="shared" si="47"/>
        <v>0.20740740740740746</v>
      </c>
      <c r="AD204" s="69">
        <f t="shared" si="41"/>
        <v>5.1318553049060499E-4</v>
      </c>
    </row>
    <row r="205" spans="2:30" x14ac:dyDescent="0.35">
      <c r="B205" s="415"/>
      <c r="C205" s="291" t="s">
        <v>53</v>
      </c>
      <c r="D205" s="36">
        <f>SUM(G189:G195,G198:G202,G208:G209)*I205</f>
        <v>376.91189527272729</v>
      </c>
      <c r="E205" s="36">
        <f>D205*I216</f>
        <v>18.845594763636367</v>
      </c>
      <c r="F205" s="22">
        <f t="shared" si="42"/>
        <v>0.28000000000000003</v>
      </c>
      <c r="G205" s="269">
        <f>E205*F205/H180</f>
        <v>0.10553533067636366</v>
      </c>
      <c r="H205" s="297"/>
      <c r="I205" s="22">
        <v>0.6</v>
      </c>
      <c r="J205" s="37"/>
      <c r="K205" s="39"/>
      <c r="L205" s="68" t="str">
        <f t="shared" si="43"/>
        <v>Liikepääoman korko</v>
      </c>
      <c r="M205" s="73"/>
      <c r="N205" s="529">
        <f t="shared" si="46"/>
        <v>3.8503769069320078E-2</v>
      </c>
      <c r="O205" s="69">
        <f t="shared" si="40"/>
        <v>1.3789627254711805E-4</v>
      </c>
      <c r="R205" s="291" t="s">
        <v>53</v>
      </c>
      <c r="S205" s="36">
        <f>SUM(V189:V195,V198:V202,V208:V209)*X205</f>
        <v>285.72938399999998</v>
      </c>
      <c r="T205" s="36">
        <f>S205*X216</f>
        <v>14.286469199999999</v>
      </c>
      <c r="U205" s="22">
        <f t="shared" si="44"/>
        <v>0.28000000000000003</v>
      </c>
      <c r="V205" s="269">
        <f>T205*U205/W180</f>
        <v>4.0002113759999999E-2</v>
      </c>
      <c r="W205" s="297"/>
      <c r="X205" s="22">
        <v>0.6</v>
      </c>
      <c r="Y205" s="37"/>
      <c r="Z205" s="39"/>
      <c r="AA205" s="68" t="str">
        <f t="shared" si="45"/>
        <v>Liikepääoman korko</v>
      </c>
      <c r="AB205" s="73"/>
      <c r="AC205" s="529">
        <f t="shared" si="47"/>
        <v>2.963119537777778E-2</v>
      </c>
      <c r="AD205" s="69">
        <f t="shared" si="41"/>
        <v>7.3316092752396882E-5</v>
      </c>
    </row>
    <row r="206" spans="2:30" x14ac:dyDescent="0.35">
      <c r="B206" s="415"/>
      <c r="C206" s="19"/>
      <c r="D206" s="19"/>
      <c r="E206" s="19"/>
      <c r="F206" s="19"/>
      <c r="G206" s="273"/>
      <c r="H206" s="297"/>
      <c r="I206" s="19"/>
      <c r="J206" s="37"/>
      <c r="K206" s="39"/>
      <c r="L206" s="39"/>
      <c r="M206" s="39"/>
      <c r="N206" s="529"/>
      <c r="O206" s="39"/>
      <c r="R206" s="19"/>
      <c r="S206" s="19"/>
      <c r="T206" s="19"/>
      <c r="U206" s="19"/>
      <c r="V206" s="273"/>
      <c r="W206" s="297"/>
      <c r="X206" s="19"/>
      <c r="Y206" s="37"/>
      <c r="Z206" s="39"/>
      <c r="AA206" s="39"/>
      <c r="AB206" s="39"/>
      <c r="AC206" s="529"/>
      <c r="AD206" s="39"/>
    </row>
    <row r="207" spans="2:30" ht="15.5" x14ac:dyDescent="0.35">
      <c r="B207" s="415"/>
      <c r="C207" s="51" t="s">
        <v>54</v>
      </c>
      <c r="D207" s="74" t="s">
        <v>55</v>
      </c>
      <c r="E207" s="54" t="s">
        <v>20</v>
      </c>
      <c r="F207" s="316" t="s">
        <v>38</v>
      </c>
      <c r="G207" s="268" t="s">
        <v>82</v>
      </c>
      <c r="H207" s="34" t="s">
        <v>466</v>
      </c>
      <c r="I207" s="34" t="s">
        <v>512</v>
      </c>
      <c r="J207" s="37"/>
      <c r="K207" s="61" t="s">
        <v>54</v>
      </c>
      <c r="L207" s="39"/>
      <c r="M207" s="39"/>
      <c r="N207" s="383">
        <f>SUM(N208:N209)</f>
        <v>49.271973466003317</v>
      </c>
      <c r="O207" s="63">
        <f t="shared" si="40"/>
        <v>0.17646120486984163</v>
      </c>
      <c r="R207" s="51" t="s">
        <v>54</v>
      </c>
      <c r="S207" s="74" t="s">
        <v>55</v>
      </c>
      <c r="T207" s="54" t="s">
        <v>20</v>
      </c>
      <c r="U207" s="316" t="s">
        <v>38</v>
      </c>
      <c r="V207" s="268" t="s">
        <v>82</v>
      </c>
      <c r="W207" s="34" t="s">
        <v>466</v>
      </c>
      <c r="X207" s="34" t="s">
        <v>512</v>
      </c>
      <c r="Y207" s="37"/>
      <c r="Z207" s="61" t="s">
        <v>54</v>
      </c>
      <c r="AA207" s="39"/>
      <c r="AB207" s="39"/>
      <c r="AC207" s="383">
        <f>SUM(AC208:AC209)</f>
        <v>187.90740740740742</v>
      </c>
      <c r="AD207" s="63">
        <f t="shared" si="41"/>
        <v>0.46493692659715785</v>
      </c>
    </row>
    <row r="208" spans="2:30" x14ac:dyDescent="0.35">
      <c r="B208" s="415"/>
      <c r="C208" s="17" t="s">
        <v>56</v>
      </c>
      <c r="D208" s="215">
        <v>1</v>
      </c>
      <c r="E208" s="36">
        <f>D208*365*H208</f>
        <v>6205</v>
      </c>
      <c r="F208" s="22">
        <f>F$14</f>
        <v>1</v>
      </c>
      <c r="G208" s="269">
        <f>E208*F208/H180</f>
        <v>124.1</v>
      </c>
      <c r="H208" s="124">
        <f>'Säilörehun tuotantokustannus'!$P$26</f>
        <v>17</v>
      </c>
      <c r="I208" s="215">
        <f>IF(H208=0,0,G208/H208)</f>
        <v>7.3</v>
      </c>
      <c r="J208" s="37"/>
      <c r="K208" s="39"/>
      <c r="L208" s="39" t="s">
        <v>243</v>
      </c>
      <c r="M208" s="39"/>
      <c r="N208" s="529">
        <f>G208*(1-I$220)/(E$182/H$180)*100</f>
        <v>45.276948590381423</v>
      </c>
      <c r="O208" s="69">
        <f t="shared" si="40"/>
        <v>0.16215353961012474</v>
      </c>
      <c r="R208" s="17" t="s">
        <v>56</v>
      </c>
      <c r="S208" s="215">
        <v>4</v>
      </c>
      <c r="T208" s="36">
        <f>S208*365*W208</f>
        <v>24820</v>
      </c>
      <c r="U208" s="22">
        <f>U$14</f>
        <v>1</v>
      </c>
      <c r="V208" s="269">
        <f>T208*U208/W180</f>
        <v>248.2</v>
      </c>
      <c r="W208" s="124">
        <f>'Säilörehun tuotantokustannus'!$P$26</f>
        <v>17</v>
      </c>
      <c r="X208" s="215">
        <f>IF(W208=0,0,V208/W208)</f>
        <v>14.6</v>
      </c>
      <c r="Y208" s="37"/>
      <c r="Z208" s="39"/>
      <c r="AA208" s="39" t="s">
        <v>243</v>
      </c>
      <c r="AB208" s="39"/>
      <c r="AC208" s="529">
        <f>V208*(1-X$220)/(T$182/W$180)*100</f>
        <v>183.85185185185188</v>
      </c>
      <c r="AD208" s="69">
        <f t="shared" si="41"/>
        <v>0.45490231667060049</v>
      </c>
    </row>
    <row r="209" spans="1:31" x14ac:dyDescent="0.35">
      <c r="B209" s="415"/>
      <c r="C209" s="17" t="s">
        <v>61</v>
      </c>
      <c r="D209" s="215">
        <v>0.1</v>
      </c>
      <c r="E209" s="36">
        <f>D209*365*H209</f>
        <v>547.5</v>
      </c>
      <c r="F209" s="22">
        <f>F$14</f>
        <v>1</v>
      </c>
      <c r="G209" s="269">
        <f>E209*F209/H180</f>
        <v>10.95</v>
      </c>
      <c r="H209" s="124">
        <f>'Säilörehun tuotantokustannus'!$P$27</f>
        <v>15</v>
      </c>
      <c r="I209" s="215">
        <f>IF(H209=0,0,G209/H209)</f>
        <v>0.73</v>
      </c>
      <c r="J209" s="37"/>
      <c r="K209" s="39"/>
      <c r="L209" s="39" t="s">
        <v>62</v>
      </c>
      <c r="M209" s="39"/>
      <c r="N209" s="529">
        <f>G209*(1-I$220)/(E$182/H$180)*100</f>
        <v>3.9950248756218909</v>
      </c>
      <c r="O209" s="69">
        <f t="shared" si="40"/>
        <v>1.4307665259716891E-2</v>
      </c>
      <c r="R209" s="17" t="s">
        <v>61</v>
      </c>
      <c r="S209" s="215">
        <v>0.1</v>
      </c>
      <c r="T209" s="36">
        <f>S209*365*W209</f>
        <v>547.5</v>
      </c>
      <c r="U209" s="22">
        <f>U$14</f>
        <v>1</v>
      </c>
      <c r="V209" s="269">
        <f>T209*U209/W180</f>
        <v>5.4749999999999996</v>
      </c>
      <c r="W209" s="124">
        <f>'Säilörehun tuotantokustannus'!$P$27</f>
        <v>15</v>
      </c>
      <c r="X209" s="215">
        <f>IF(W209=0,0,V209/W209)</f>
        <v>0.36499999999999999</v>
      </c>
      <c r="Y209" s="37"/>
      <c r="Z209" s="39"/>
      <c r="AA209" s="39" t="s">
        <v>62</v>
      </c>
      <c r="AB209" s="39"/>
      <c r="AC209" s="529">
        <f>V209*(1-X$220)/(T$182/W$180)*100</f>
        <v>4.0555555555555554</v>
      </c>
      <c r="AD209" s="69">
        <f t="shared" si="41"/>
        <v>1.0034609926557362E-2</v>
      </c>
    </row>
    <row r="210" spans="1:31" x14ac:dyDescent="0.35">
      <c r="B210" s="415"/>
      <c r="C210" s="19"/>
      <c r="D210" s="19"/>
      <c r="E210" s="19"/>
      <c r="F210" s="19"/>
      <c r="G210" s="273"/>
      <c r="H210" s="297"/>
      <c r="I210" s="19"/>
      <c r="J210" s="37"/>
      <c r="K210" s="39"/>
      <c r="L210" s="39"/>
      <c r="M210" s="39"/>
      <c r="N210" s="529"/>
      <c r="O210" s="39"/>
      <c r="R210" s="19"/>
      <c r="S210" s="19"/>
      <c r="T210" s="19"/>
      <c r="U210" s="19"/>
      <c r="V210" s="273"/>
      <c r="W210" s="297"/>
      <c r="X210" s="19"/>
      <c r="Y210" s="37"/>
      <c r="Z210" s="39"/>
      <c r="AA210" s="39"/>
      <c r="AB210" s="39"/>
      <c r="AC210" s="529"/>
      <c r="AD210" s="39"/>
    </row>
    <row r="211" spans="1:31" ht="16" thickBot="1" x14ac:dyDescent="0.4">
      <c r="B211" s="415"/>
      <c r="C211" s="51" t="s">
        <v>63</v>
      </c>
      <c r="D211" s="19"/>
      <c r="E211" s="19"/>
      <c r="F211" s="20"/>
      <c r="G211" s="391"/>
      <c r="H211" s="297"/>
      <c r="I211" s="19"/>
      <c r="J211" s="37"/>
      <c r="K211" s="39"/>
      <c r="L211" s="39"/>
      <c r="M211" s="39"/>
      <c r="N211" s="529"/>
      <c r="O211" s="39"/>
      <c r="R211" s="51" t="s">
        <v>63</v>
      </c>
      <c r="S211" s="19"/>
      <c r="T211" s="19"/>
      <c r="U211" s="20"/>
      <c r="V211" s="391"/>
      <c r="W211" s="297"/>
      <c r="X211" s="19"/>
      <c r="Y211" s="37"/>
      <c r="Z211" s="39"/>
      <c r="AA211" s="39"/>
      <c r="AB211" s="39"/>
      <c r="AC211" s="529"/>
      <c r="AD211" s="39"/>
    </row>
    <row r="212" spans="1:31" ht="15" thickTop="1" x14ac:dyDescent="0.35">
      <c r="B212" s="415"/>
      <c r="C212" s="277" t="s">
        <v>64</v>
      </c>
      <c r="D212" s="292" t="s">
        <v>65</v>
      </c>
      <c r="E212" s="395" t="s">
        <v>20</v>
      </c>
      <c r="F212" s="395" t="s">
        <v>38</v>
      </c>
      <c r="G212" s="268" t="s">
        <v>82</v>
      </c>
      <c r="H212" s="297"/>
      <c r="I212" s="34" t="s">
        <v>470</v>
      </c>
      <c r="J212" s="37"/>
      <c r="K212" s="61" t="s">
        <v>63</v>
      </c>
      <c r="L212" s="39"/>
      <c r="M212" s="39"/>
      <c r="N212" s="383">
        <f>SUM(N213:N217)</f>
        <v>43.252802653399669</v>
      </c>
      <c r="O212" s="63">
        <f t="shared" si="40"/>
        <v>0.15490432254520153</v>
      </c>
      <c r="R212" s="277" t="s">
        <v>64</v>
      </c>
      <c r="S212" s="292" t="s">
        <v>65</v>
      </c>
      <c r="T212" s="395" t="s">
        <v>20</v>
      </c>
      <c r="U212" s="395" t="s">
        <v>38</v>
      </c>
      <c r="V212" s="268" t="s">
        <v>82</v>
      </c>
      <c r="W212" s="297"/>
      <c r="X212" s="34" t="s">
        <v>470</v>
      </c>
      <c r="Y212" s="37"/>
      <c r="Z212" s="61" t="s">
        <v>63</v>
      </c>
      <c r="AA212" s="39"/>
      <c r="AB212" s="39"/>
      <c r="AC212" s="383">
        <f>SUM(AC213:AC217)</f>
        <v>44.530370370370377</v>
      </c>
      <c r="AD212" s="63">
        <f t="shared" si="41"/>
        <v>0.11018093339633288</v>
      </c>
    </row>
    <row r="213" spans="1:31" x14ac:dyDescent="0.35">
      <c r="B213" s="415"/>
      <c r="C213" s="278" t="s">
        <v>66</v>
      </c>
      <c r="D213" s="317">
        <v>76000</v>
      </c>
      <c r="E213" s="16">
        <f>D213/15</f>
        <v>5066.666666666667</v>
      </c>
      <c r="F213" s="22">
        <f>F$191</f>
        <v>0.28000000000000003</v>
      </c>
      <c r="G213" s="269">
        <f>E213*F213/H180</f>
        <v>28.373333333333338</v>
      </c>
      <c r="H213" s="297"/>
      <c r="I213" s="320">
        <v>0.03</v>
      </c>
      <c r="J213" s="37"/>
      <c r="K213" s="39"/>
      <c r="L213" s="39" t="s">
        <v>67</v>
      </c>
      <c r="M213" s="39"/>
      <c r="N213" s="529">
        <f>G213*(1-I$220)/(E$182/H$180)*100</f>
        <v>10.351796572692098</v>
      </c>
      <c r="O213" s="69">
        <f t="shared" si="40"/>
        <v>3.7073621519242074E-2</v>
      </c>
      <c r="R213" s="278" t="s">
        <v>66</v>
      </c>
      <c r="S213" s="317">
        <v>76000</v>
      </c>
      <c r="T213" s="16">
        <f>S213/15</f>
        <v>5066.666666666667</v>
      </c>
      <c r="U213" s="22">
        <f>U$191</f>
        <v>0.28000000000000003</v>
      </c>
      <c r="V213" s="269">
        <f>T213*U213/W180</f>
        <v>14.186666666666669</v>
      </c>
      <c r="W213" s="297"/>
      <c r="X213" s="320">
        <v>0.03</v>
      </c>
      <c r="Y213" s="37"/>
      <c r="Z213" s="39"/>
      <c r="AA213" s="39" t="s">
        <v>67</v>
      </c>
      <c r="AB213" s="39"/>
      <c r="AC213" s="529">
        <f>V213*(1-X$220)/(T$182/W$180)*100</f>
        <v>10.508641975308644</v>
      </c>
      <c r="AD213" s="69">
        <f t="shared" si="41"/>
        <v>2.6001400211523983E-2</v>
      </c>
    </row>
    <row r="214" spans="1:31" ht="15" thickBot="1" x14ac:dyDescent="0.4">
      <c r="B214" s="415"/>
      <c r="C214" s="279" t="s">
        <v>68</v>
      </c>
      <c r="D214" s="318">
        <v>86000</v>
      </c>
      <c r="E214" s="16">
        <f>D214/15</f>
        <v>5733.333333333333</v>
      </c>
      <c r="F214" s="22">
        <f>F$191</f>
        <v>0.28000000000000003</v>
      </c>
      <c r="G214" s="269">
        <f>E214*F214/H180</f>
        <v>32.106666666666669</v>
      </c>
      <c r="H214" s="297"/>
      <c r="I214" s="320">
        <v>0.01</v>
      </c>
      <c r="J214" s="37"/>
      <c r="K214" s="39"/>
      <c r="L214" s="39" t="s">
        <v>69</v>
      </c>
      <c r="M214" s="39"/>
      <c r="N214" s="529">
        <f>G214*(1-I$220)/(E$182/H$180)*100</f>
        <v>11.713875069098952</v>
      </c>
      <c r="O214" s="69">
        <f t="shared" si="40"/>
        <v>4.1951729613879184E-2</v>
      </c>
      <c r="R214" s="279" t="s">
        <v>68</v>
      </c>
      <c r="S214" s="318">
        <v>86000</v>
      </c>
      <c r="T214" s="16">
        <f>S214/15</f>
        <v>5733.333333333333</v>
      </c>
      <c r="U214" s="22">
        <f>U$191</f>
        <v>0.28000000000000003</v>
      </c>
      <c r="V214" s="269">
        <f>T214*U214/W180</f>
        <v>16.053333333333335</v>
      </c>
      <c r="W214" s="297"/>
      <c r="X214" s="320">
        <v>0.01</v>
      </c>
      <c r="Y214" s="37"/>
      <c r="Z214" s="39"/>
      <c r="AA214" s="39" t="s">
        <v>69</v>
      </c>
      <c r="AB214" s="39"/>
      <c r="AC214" s="529">
        <f>V214*(1-X$220)/(T$182/W$180)*100</f>
        <v>11.89135802469136</v>
      </c>
      <c r="AD214" s="69">
        <f t="shared" si="41"/>
        <v>2.9422637081461353E-2</v>
      </c>
    </row>
    <row r="215" spans="1:31" ht="15" thickTop="1" x14ac:dyDescent="0.35">
      <c r="B215" s="415"/>
      <c r="C215" s="276" t="s">
        <v>71</v>
      </c>
      <c r="D215" s="96">
        <v>2300</v>
      </c>
      <c r="E215" s="36">
        <f>D215/H180</f>
        <v>46</v>
      </c>
      <c r="F215" s="22">
        <f>F$191</f>
        <v>0.28000000000000003</v>
      </c>
      <c r="G215" s="269">
        <f>E215*F215</f>
        <v>12.88</v>
      </c>
      <c r="H215" s="297"/>
      <c r="I215" s="36">
        <f>(D214*I214+D213*I213)/H180</f>
        <v>62.8</v>
      </c>
      <c r="J215" s="37"/>
      <c r="K215" s="39"/>
      <c r="L215" s="39" t="s">
        <v>71</v>
      </c>
      <c r="M215" s="39"/>
      <c r="N215" s="529">
        <f>G215*(1-I$220)/(E$182/H$180)*100</f>
        <v>4.6991708126036489</v>
      </c>
      <c r="O215" s="69">
        <f t="shared" si="40"/>
        <v>1.6829472926498043E-2</v>
      </c>
      <c r="R215" s="276" t="s">
        <v>71</v>
      </c>
      <c r="S215" s="96">
        <v>2300</v>
      </c>
      <c r="T215" s="36">
        <f>S215/W180</f>
        <v>23</v>
      </c>
      <c r="U215" s="22">
        <f>U$191</f>
        <v>0.28000000000000003</v>
      </c>
      <c r="V215" s="269">
        <f>T215*U215</f>
        <v>6.44</v>
      </c>
      <c r="W215" s="297"/>
      <c r="X215" s="36">
        <f>(S214*X214+S213*X213)/W180</f>
        <v>31.4</v>
      </c>
      <c r="Y215" s="37"/>
      <c r="Z215" s="39"/>
      <c r="AA215" s="39" t="s">
        <v>71</v>
      </c>
      <c r="AB215" s="39"/>
      <c r="AC215" s="529">
        <f>V215*(1-X$220)/(T$182/W$180)*100</f>
        <v>4.7703703703703706</v>
      </c>
      <c r="AD215" s="69">
        <f t="shared" si="41"/>
        <v>1.1803267201283912E-2</v>
      </c>
    </row>
    <row r="216" spans="1:31" x14ac:dyDescent="0.35">
      <c r="B216" s="415"/>
      <c r="C216" s="14" t="s">
        <v>73</v>
      </c>
      <c r="D216" s="36">
        <f>(D213+D214+D218)/2*I216</f>
        <v>4050</v>
      </c>
      <c r="E216" s="16">
        <f>(D213/2+D214/2)*I216/H180</f>
        <v>81</v>
      </c>
      <c r="F216" s="22">
        <f>F$191</f>
        <v>0.28000000000000003</v>
      </c>
      <c r="G216" s="269">
        <f>E216*F216</f>
        <v>22.680000000000003</v>
      </c>
      <c r="H216" s="297"/>
      <c r="I216" s="22">
        <v>0.05</v>
      </c>
      <c r="J216" s="37"/>
      <c r="K216" s="39"/>
      <c r="L216" s="39" t="s">
        <v>73</v>
      </c>
      <c r="M216" s="39"/>
      <c r="N216" s="529">
        <f>G216*(1-I$220)/(E$182/H$180)*100</f>
        <v>8.2746268656716424</v>
      </c>
      <c r="O216" s="69">
        <f t="shared" si="40"/>
        <v>2.9634506674920465E-2</v>
      </c>
      <c r="R216" s="14" t="s">
        <v>73</v>
      </c>
      <c r="S216" s="36">
        <f>(S213+S214+S218)/2*X216</f>
        <v>4050</v>
      </c>
      <c r="T216" s="16">
        <f>(S213/2+S214/2)*X216/W180</f>
        <v>40.5</v>
      </c>
      <c r="U216" s="22">
        <f>U$191</f>
        <v>0.28000000000000003</v>
      </c>
      <c r="V216" s="269">
        <f>T216*U216</f>
        <v>11.340000000000002</v>
      </c>
      <c r="W216" s="297"/>
      <c r="X216" s="22">
        <v>0.05</v>
      </c>
      <c r="Y216" s="37"/>
      <c r="Z216" s="39"/>
      <c r="AA216" s="39" t="s">
        <v>73</v>
      </c>
      <c r="AB216" s="39"/>
      <c r="AC216" s="529">
        <f>V216*(1-X$220)/(T$182/W$180)*100</f>
        <v>8.4</v>
      </c>
      <c r="AD216" s="69">
        <f t="shared" si="41"/>
        <v>2.0784013984869499E-2</v>
      </c>
    </row>
    <row r="217" spans="1:31" x14ac:dyDescent="0.35">
      <c r="B217" s="415"/>
      <c r="C217" s="14" t="s">
        <v>74</v>
      </c>
      <c r="D217" s="36">
        <f>E217*H180</f>
        <v>4019.9999999999995</v>
      </c>
      <c r="E217" s="36">
        <f>G186*I217</f>
        <v>80.399999999999991</v>
      </c>
      <c r="F217" s="22">
        <f>F$191</f>
        <v>0.28000000000000003</v>
      </c>
      <c r="G217" s="269">
        <f>E217*F217</f>
        <v>22.512</v>
      </c>
      <c r="H217" s="297"/>
      <c r="I217" s="22">
        <v>0.06</v>
      </c>
      <c r="J217" s="37"/>
      <c r="K217" s="39"/>
      <c r="L217" s="39" t="s">
        <v>74</v>
      </c>
      <c r="M217" s="39"/>
      <c r="N217" s="529">
        <f>G217*(1-I$220)/(E$182/H$180)*100</f>
        <v>8.2133333333333329</v>
      </c>
      <c r="O217" s="69">
        <f t="shared" si="40"/>
        <v>2.9414991810661789E-2</v>
      </c>
      <c r="R217" s="14" t="s">
        <v>74</v>
      </c>
      <c r="S217" s="36">
        <f>T217*W180</f>
        <v>4320</v>
      </c>
      <c r="T217" s="36">
        <f>V186*X217</f>
        <v>43.199999999999996</v>
      </c>
      <c r="U217" s="22">
        <f>U$191</f>
        <v>0.28000000000000003</v>
      </c>
      <c r="V217" s="269">
        <f>T217*U217</f>
        <v>12.096</v>
      </c>
      <c r="W217" s="297"/>
      <c r="X217" s="22">
        <v>0.06</v>
      </c>
      <c r="Y217" s="37"/>
      <c r="Z217" s="39"/>
      <c r="AA217" s="39" t="s">
        <v>74</v>
      </c>
      <c r="AB217" s="39"/>
      <c r="AC217" s="529">
        <f>V217*(1-X$220)/(T$182/W$180)*100</f>
        <v>8.9599999999999991</v>
      </c>
      <c r="AD217" s="69">
        <f t="shared" si="41"/>
        <v>2.2169614917194127E-2</v>
      </c>
    </row>
    <row r="218" spans="1:31" ht="15" thickBot="1" x14ac:dyDescent="0.4">
      <c r="B218" s="415"/>
      <c r="C218" s="39"/>
      <c r="D218" s="39"/>
      <c r="E218" s="39"/>
      <c r="F218" s="39"/>
      <c r="G218" s="89"/>
      <c r="H218" s="298"/>
      <c r="I218" s="39"/>
      <c r="J218" s="37"/>
      <c r="K218" s="39"/>
      <c r="L218" s="39"/>
      <c r="M218" s="39"/>
      <c r="N218" s="382"/>
      <c r="O218" s="39"/>
      <c r="Q218" s="80"/>
      <c r="R218" s="39"/>
      <c r="S218" s="39"/>
      <c r="T218" s="39"/>
      <c r="U218" s="39"/>
      <c r="V218" s="89"/>
      <c r="W218" s="298"/>
      <c r="X218" s="39"/>
      <c r="Y218" s="37"/>
      <c r="Z218" s="39"/>
      <c r="AA218" s="39"/>
      <c r="AB218" s="39"/>
      <c r="AC218" s="382"/>
      <c r="AD218" s="39"/>
    </row>
    <row r="219" spans="1:31" ht="15" thickBot="1" x14ac:dyDescent="0.4">
      <c r="B219" s="415"/>
      <c r="C219" s="39"/>
      <c r="D219" s="39"/>
      <c r="E219" s="39"/>
      <c r="F219" s="56" t="s">
        <v>526</v>
      </c>
      <c r="G219" s="271">
        <f>SUM(G191:G217)</f>
        <v>765.32402745188847</v>
      </c>
      <c r="H219" s="298"/>
      <c r="I219" s="39"/>
      <c r="J219" s="37"/>
      <c r="K219" s="61" t="s">
        <v>670</v>
      </c>
      <c r="L219" s="77"/>
      <c r="N219" s="383">
        <f>SUM(N192:N206,N208:N210,N213:N218)</f>
        <v>279.22269658277855</v>
      </c>
      <c r="O219" s="39"/>
      <c r="R219" s="39"/>
      <c r="S219" s="39"/>
      <c r="T219" s="39"/>
      <c r="U219" s="56" t="s">
        <v>526</v>
      </c>
      <c r="V219" s="271">
        <f>SUM(V191:V217)</f>
        <v>545.61164211376013</v>
      </c>
      <c r="W219" s="298"/>
      <c r="X219" s="39"/>
      <c r="Y219" s="37"/>
      <c r="Z219" s="61" t="s">
        <v>670</v>
      </c>
      <c r="AA219" s="77"/>
      <c r="AC219" s="383">
        <f>SUM(AC192:AC206,AC208:AC210,AC213:AC218)</f>
        <v>404.15677193611856</v>
      </c>
      <c r="AD219" s="39"/>
    </row>
    <row r="220" spans="1:31" ht="15" thickBot="1" x14ac:dyDescent="0.4">
      <c r="B220" s="415"/>
      <c r="C220" s="39"/>
      <c r="D220" s="39"/>
      <c r="E220" s="39"/>
      <c r="F220" s="56" t="s">
        <v>511</v>
      </c>
      <c r="G220" s="392">
        <f>SUM(G183:G184)</f>
        <v>240</v>
      </c>
      <c r="H220" s="298"/>
      <c r="I220" s="381">
        <f>IF(G186=0,0,G220/G186)</f>
        <v>0.17910447761194029</v>
      </c>
      <c r="J220" s="37"/>
      <c r="K220" s="61"/>
      <c r="L220" s="384" t="s">
        <v>671</v>
      </c>
      <c r="M220" s="127"/>
      <c r="N220" s="404"/>
      <c r="O220" s="37"/>
      <c r="R220" s="39"/>
      <c r="S220" s="39"/>
      <c r="T220" s="39"/>
      <c r="U220" s="56" t="s">
        <v>511</v>
      </c>
      <c r="V220" s="392">
        <f>SUM(V183:V184)</f>
        <v>120</v>
      </c>
      <c r="W220" s="298"/>
      <c r="X220" s="381">
        <f>IF(V186=0,0,V220/V186)</f>
        <v>0.16666666666666666</v>
      </c>
      <c r="Y220" s="37"/>
      <c r="Z220" s="61"/>
      <c r="AA220" s="384" t="s">
        <v>671</v>
      </c>
      <c r="AB220" s="127"/>
      <c r="AC220" s="404"/>
      <c r="AD220" s="37"/>
    </row>
    <row r="221" spans="1:31" ht="15" thickBot="1" x14ac:dyDescent="0.4">
      <c r="B221" s="415"/>
      <c r="C221" s="39"/>
      <c r="D221" s="39"/>
      <c r="E221" s="39"/>
      <c r="F221" s="56" t="s">
        <v>525</v>
      </c>
      <c r="G221" s="271">
        <f>G219-G220</f>
        <v>525.32402745188847</v>
      </c>
      <c r="H221" s="379"/>
      <c r="I221" s="380"/>
      <c r="J221" s="37"/>
      <c r="K221" s="61"/>
      <c r="L221" s="384" t="s">
        <v>507</v>
      </c>
      <c r="M221" s="127"/>
      <c r="N221" s="404">
        <f>N219-N192+I191</f>
        <v>131.27357939095984</v>
      </c>
      <c r="O221" s="37"/>
      <c r="R221" s="39"/>
      <c r="S221" s="39"/>
      <c r="T221" s="39"/>
      <c r="U221" s="56" t="s">
        <v>525</v>
      </c>
      <c r="V221" s="271">
        <f>V219-V220</f>
        <v>425.61164211376013</v>
      </c>
      <c r="W221" s="379"/>
      <c r="X221" s="380"/>
      <c r="Y221" s="37"/>
      <c r="Z221" s="61"/>
      <c r="AA221" s="384" t="s">
        <v>507</v>
      </c>
      <c r="AB221" s="127"/>
      <c r="AC221" s="404">
        <f>AC219-AC192+X191</f>
        <v>271.73503119537781</v>
      </c>
      <c r="AD221" s="37"/>
    </row>
    <row r="222" spans="1:31" x14ac:dyDescent="0.35">
      <c r="B222" s="415"/>
      <c r="C222" s="39"/>
      <c r="D222" s="39"/>
      <c r="E222" s="39"/>
      <c r="F222" s="39"/>
      <c r="G222" s="39"/>
      <c r="H222" s="39"/>
      <c r="I222" s="39"/>
      <c r="J222" s="37"/>
      <c r="K222" s="61"/>
      <c r="L222" s="37" t="str">
        <f>CONCATENATE('Säilörehun tuotantokustannus'!$N$5," €/kg ka eli ",I191," snt/tuotettu liha-kg")</f>
        <v>0,12 €/kg ka eli 0,343 snt/tuotettu liha-kg</v>
      </c>
      <c r="M222" s="37"/>
      <c r="N222" s="386"/>
      <c r="O222" s="37"/>
      <c r="R222" s="39"/>
      <c r="S222" s="39"/>
      <c r="T222" s="39"/>
      <c r="U222" s="39"/>
      <c r="V222" s="39"/>
      <c r="W222" s="39"/>
      <c r="X222" s="39"/>
      <c r="Y222" s="37"/>
      <c r="Z222" s="61"/>
      <c r="AA222" s="37" t="str">
        <f>CONCATENATE('Säilörehun tuotantokustannus'!$N$5," €/kg ka eli ",X191," snt/tuotettu liha-kg")</f>
        <v>0,12 €/kg ka eli 0,319 snt/tuotettu liha-kg</v>
      </c>
      <c r="AB222" s="37"/>
      <c r="AC222" s="386"/>
      <c r="AD222" s="37"/>
    </row>
    <row r="223" spans="1:31" x14ac:dyDescent="0.35">
      <c r="B223" s="415"/>
      <c r="C223" s="39"/>
      <c r="D223" s="39"/>
      <c r="E223" s="39"/>
      <c r="F223" s="39"/>
      <c r="G223" s="39"/>
      <c r="H223" s="39"/>
      <c r="I223" s="39"/>
      <c r="J223" s="37"/>
      <c r="K223" s="61"/>
      <c r="L223" s="77"/>
      <c r="M223" s="77"/>
      <c r="N223" s="62"/>
      <c r="O223" s="39"/>
      <c r="R223" s="39"/>
      <c r="S223" s="39"/>
      <c r="T223" s="39"/>
      <c r="U223" s="39"/>
      <c r="V223" s="39"/>
      <c r="W223" s="39"/>
      <c r="X223" s="39"/>
      <c r="Y223" s="37"/>
      <c r="Z223" s="61"/>
      <c r="AA223" s="77"/>
      <c r="AB223" s="77"/>
      <c r="AC223" s="62"/>
      <c r="AD223" s="39"/>
    </row>
    <row r="224" spans="1:31" s="396" customFormat="1" ht="27" customHeight="1" x14ac:dyDescent="0.35">
      <c r="A224" s="80"/>
      <c r="B224" s="80"/>
      <c r="C224" s="49"/>
      <c r="D224" s="49"/>
      <c r="E224" s="49"/>
      <c r="F224" s="49"/>
      <c r="G224" s="49"/>
      <c r="H224" s="49"/>
      <c r="I224" s="49"/>
      <c r="J224" s="80"/>
      <c r="K224" s="49"/>
      <c r="L224" s="49"/>
      <c r="M224" s="49"/>
      <c r="N224" s="49"/>
      <c r="O224" s="49"/>
      <c r="P224" s="49"/>
      <c r="Q224" s="80"/>
      <c r="R224" s="49"/>
      <c r="S224" s="49"/>
      <c r="T224" s="49"/>
      <c r="U224" s="49"/>
      <c r="V224" s="49"/>
      <c r="W224" s="49"/>
      <c r="X224" s="49"/>
      <c r="Y224" s="80"/>
      <c r="Z224" s="49"/>
      <c r="AA224" s="49"/>
      <c r="AB224" s="49"/>
      <c r="AC224" s="49"/>
      <c r="AD224" s="49"/>
      <c r="AE224" s="49"/>
    </row>
    <row r="225" spans="1:30" ht="27" customHeight="1" x14ac:dyDescent="0.35">
      <c r="A225" s="306"/>
      <c r="B225" s="612"/>
      <c r="C225" s="416"/>
      <c r="D225" s="416"/>
      <c r="E225" s="416"/>
      <c r="F225" s="613" t="s">
        <v>545</v>
      </c>
      <c r="G225" s="614" t="s">
        <v>41</v>
      </c>
      <c r="H225" s="612"/>
      <c r="I225" s="612"/>
      <c r="J225" s="612"/>
      <c r="K225" s="612"/>
      <c r="L225" s="612"/>
      <c r="M225" s="612"/>
      <c r="N225" s="612"/>
      <c r="O225" s="612"/>
      <c r="P225" s="306"/>
      <c r="Q225" s="306"/>
      <c r="R225" s="612"/>
      <c r="S225" s="612"/>
      <c r="T225" s="612"/>
      <c r="U225" s="613" t="str">
        <f>F225</f>
        <v>Hiehonlihantuotanto,</v>
      </c>
      <c r="V225" s="614" t="s">
        <v>42</v>
      </c>
      <c r="W225" s="416"/>
      <c r="X225" s="416"/>
      <c r="Y225" s="615"/>
      <c r="Z225" s="416"/>
      <c r="AA225" s="416"/>
      <c r="AB225" s="416"/>
      <c r="AC225" s="416"/>
      <c r="AD225" s="416"/>
    </row>
    <row r="226" spans="1:30" ht="18.5" x14ac:dyDescent="0.45">
      <c r="B226" s="416"/>
      <c r="C226" s="575" t="s">
        <v>475</v>
      </c>
      <c r="D226" s="576"/>
      <c r="E226" s="576"/>
      <c r="F226" s="576"/>
      <c r="G226" s="577" t="s">
        <v>528</v>
      </c>
      <c r="H226" s="578">
        <v>10</v>
      </c>
      <c r="I226" s="579" t="s">
        <v>79</v>
      </c>
      <c r="J226" s="37"/>
      <c r="K226" s="39"/>
      <c r="L226" s="39"/>
      <c r="M226" s="39"/>
      <c r="N226" s="39"/>
      <c r="O226" s="39"/>
      <c r="R226" s="575" t="s">
        <v>475</v>
      </c>
      <c r="S226" s="576"/>
      <c r="T226" s="576"/>
      <c r="U226" s="576"/>
      <c r="V226" s="577" t="s">
        <v>528</v>
      </c>
      <c r="W226" s="578">
        <v>10</v>
      </c>
      <c r="X226" s="579" t="s">
        <v>79</v>
      </c>
      <c r="Y226" s="37"/>
      <c r="Z226" s="39"/>
      <c r="AA226" s="39"/>
      <c r="AB226" s="39"/>
      <c r="AC226" s="39"/>
      <c r="AD226" s="39"/>
    </row>
    <row r="227" spans="1:30" ht="22" x14ac:dyDescent="0.35">
      <c r="B227" s="416"/>
      <c r="C227" s="51" t="s">
        <v>77</v>
      </c>
      <c r="D227" s="294" t="s">
        <v>281</v>
      </c>
      <c r="E227" s="54" t="s">
        <v>490</v>
      </c>
      <c r="F227" s="316" t="s">
        <v>491</v>
      </c>
      <c r="G227" s="268" t="s">
        <v>82</v>
      </c>
      <c r="H227" s="184" t="s">
        <v>486</v>
      </c>
      <c r="I227" s="184"/>
      <c r="J227" s="37"/>
      <c r="K227" s="39"/>
      <c r="L227" s="39"/>
      <c r="M227" s="39"/>
      <c r="N227" s="39"/>
      <c r="O227" s="39"/>
      <c r="R227" s="51" t="s">
        <v>77</v>
      </c>
      <c r="S227" s="294" t="s">
        <v>281</v>
      </c>
      <c r="T227" s="54" t="s">
        <v>490</v>
      </c>
      <c r="U227" s="316" t="s">
        <v>491</v>
      </c>
      <c r="V227" s="268" t="s">
        <v>82</v>
      </c>
      <c r="W227" s="184" t="s">
        <v>486</v>
      </c>
      <c r="X227" s="184"/>
      <c r="Y227" s="37"/>
      <c r="Z227" s="39"/>
      <c r="AA227" s="39"/>
      <c r="AB227" s="39"/>
      <c r="AC227" s="39"/>
      <c r="AD227" s="39"/>
    </row>
    <row r="228" spans="1:30" x14ac:dyDescent="0.35">
      <c r="B228" s="416"/>
      <c r="C228" s="300" t="s">
        <v>522</v>
      </c>
      <c r="D228" s="36">
        <v>45000</v>
      </c>
      <c r="E228" s="36">
        <v>11250</v>
      </c>
      <c r="F228" s="124">
        <f>D228/E228</f>
        <v>4</v>
      </c>
      <c r="G228" s="269">
        <f>E228*F228/H226</f>
        <v>4500</v>
      </c>
      <c r="H228" s="184" t="s">
        <v>4</v>
      </c>
      <c r="I228" s="220">
        <f>G228</f>
        <v>4500</v>
      </c>
      <c r="J228" s="37"/>
      <c r="K228" s="39"/>
      <c r="L228" s="39"/>
      <c r="M228" s="39"/>
      <c r="N228" s="39"/>
      <c r="O228" s="39"/>
      <c r="R228" s="300" t="s">
        <v>522</v>
      </c>
      <c r="S228" s="36">
        <v>45000</v>
      </c>
      <c r="T228" s="36">
        <v>11250</v>
      </c>
      <c r="U228" s="124">
        <f>S228/T228</f>
        <v>4</v>
      </c>
      <c r="V228" s="269">
        <f>T228*U228/W226</f>
        <v>4500</v>
      </c>
      <c r="W228" s="184" t="s">
        <v>4</v>
      </c>
      <c r="X228" s="220">
        <f>V228</f>
        <v>4500</v>
      </c>
      <c r="Y228" s="37"/>
      <c r="Z228" s="39"/>
      <c r="AA228" s="39"/>
      <c r="AB228" s="39"/>
      <c r="AC228" s="39"/>
      <c r="AD228" s="39"/>
    </row>
    <row r="229" spans="1:30" x14ac:dyDescent="0.35">
      <c r="B229" s="416"/>
      <c r="C229" s="300" t="s">
        <v>523</v>
      </c>
      <c r="D229" s="36">
        <v>12000</v>
      </c>
      <c r="E229" s="36">
        <v>3500</v>
      </c>
      <c r="F229" s="124">
        <f>D229/E229</f>
        <v>3.4285714285714284</v>
      </c>
      <c r="G229" s="269">
        <f>E229*F229/H226</f>
        <v>1200</v>
      </c>
      <c r="H229" s="184" t="s">
        <v>5</v>
      </c>
      <c r="I229" s="220">
        <f>G229</f>
        <v>1200</v>
      </c>
      <c r="J229" s="37"/>
      <c r="K229" s="39"/>
      <c r="L229" s="39"/>
      <c r="M229" s="39"/>
      <c r="N229" s="39"/>
      <c r="O229" s="39"/>
      <c r="R229" s="300" t="s">
        <v>523</v>
      </c>
      <c r="S229" s="36">
        <v>12000</v>
      </c>
      <c r="T229" s="36">
        <v>3500</v>
      </c>
      <c r="U229" s="124">
        <f>S229/T229</f>
        <v>3.4285714285714284</v>
      </c>
      <c r="V229" s="269">
        <f>T229*U229/W226</f>
        <v>1200</v>
      </c>
      <c r="W229" s="184" t="s">
        <v>5</v>
      </c>
      <c r="X229" s="220">
        <f>V229</f>
        <v>1200</v>
      </c>
      <c r="Y229" s="37"/>
      <c r="Z229" s="39"/>
      <c r="AA229" s="39"/>
      <c r="AB229" s="39"/>
      <c r="AC229" s="39"/>
      <c r="AD229" s="39"/>
    </row>
    <row r="230" spans="1:30" x14ac:dyDescent="0.35">
      <c r="B230" s="416"/>
      <c r="C230" s="301" t="s">
        <v>492</v>
      </c>
      <c r="D230" s="36"/>
      <c r="E230" s="304"/>
      <c r="F230" s="302"/>
      <c r="G230" s="269">
        <f>D230/H226</f>
        <v>0</v>
      </c>
      <c r="H230" s="184" t="s">
        <v>489</v>
      </c>
      <c r="I230" s="220">
        <f>G230</f>
        <v>0</v>
      </c>
      <c r="J230" s="37"/>
      <c r="K230" s="39"/>
      <c r="L230" s="39"/>
      <c r="M230" s="39"/>
      <c r="N230" s="39"/>
      <c r="O230" s="39"/>
      <c r="R230" s="301" t="s">
        <v>492</v>
      </c>
      <c r="S230" s="36"/>
      <c r="T230" s="304"/>
      <c r="U230" s="302"/>
      <c r="V230" s="269">
        <f>S230/W226</f>
        <v>0</v>
      </c>
      <c r="W230" s="184" t="s">
        <v>489</v>
      </c>
      <c r="X230" s="220">
        <f>V230</f>
        <v>0</v>
      </c>
      <c r="Y230" s="37"/>
      <c r="Z230" s="39"/>
      <c r="AA230" s="39"/>
      <c r="AB230" s="39"/>
      <c r="AC230" s="39"/>
      <c r="AD230" s="39"/>
    </row>
    <row r="231" spans="1:30" ht="15" thickBot="1" x14ac:dyDescent="0.4">
      <c r="B231" s="416"/>
      <c r="C231" s="301" t="s">
        <v>524</v>
      </c>
      <c r="D231" s="36">
        <v>4000</v>
      </c>
      <c r="E231" s="305"/>
      <c r="F231" s="303"/>
      <c r="G231" s="269">
        <f>D231/H226</f>
        <v>400</v>
      </c>
      <c r="H231" s="184" t="s">
        <v>465</v>
      </c>
      <c r="I231" s="220">
        <f>G231</f>
        <v>400</v>
      </c>
      <c r="J231" s="37"/>
      <c r="K231" s="39"/>
      <c r="L231" s="39"/>
      <c r="M231" s="39"/>
      <c r="N231" s="39"/>
      <c r="O231" s="39"/>
      <c r="R231" s="301" t="s">
        <v>524</v>
      </c>
      <c r="S231" s="36">
        <v>4000</v>
      </c>
      <c r="T231" s="305"/>
      <c r="U231" s="303"/>
      <c r="V231" s="269">
        <f>S231/W226</f>
        <v>400</v>
      </c>
      <c r="W231" s="184" t="s">
        <v>465</v>
      </c>
      <c r="X231" s="220">
        <f>V231</f>
        <v>400</v>
      </c>
      <c r="Y231" s="37"/>
      <c r="Z231" s="39"/>
      <c r="AA231" s="39"/>
      <c r="AB231" s="39"/>
      <c r="AC231" s="39"/>
      <c r="AD231" s="39"/>
    </row>
    <row r="232" spans="1:30" ht="15" thickBot="1" x14ac:dyDescent="0.4">
      <c r="B232" s="416"/>
      <c r="C232" s="77" t="s">
        <v>81</v>
      </c>
      <c r="D232" s="39"/>
      <c r="E232" s="37"/>
      <c r="F232" s="39"/>
      <c r="G232" s="271">
        <f>SUM(G228:G231)</f>
        <v>6100</v>
      </c>
      <c r="H232" s="257"/>
      <c r="I232" s="257"/>
      <c r="J232" s="37"/>
      <c r="K232" s="39"/>
      <c r="L232" s="39"/>
      <c r="M232" s="39"/>
      <c r="N232" s="39"/>
      <c r="O232" s="39"/>
      <c r="R232" s="77" t="s">
        <v>81</v>
      </c>
      <c r="S232" s="39"/>
      <c r="T232" s="37"/>
      <c r="U232" s="39"/>
      <c r="V232" s="271">
        <f>SUM(V228:V231)</f>
        <v>6100</v>
      </c>
      <c r="W232" s="257"/>
      <c r="X232" s="257"/>
      <c r="Y232" s="37"/>
      <c r="Z232" s="39"/>
      <c r="AA232" s="39"/>
      <c r="AB232" s="39"/>
      <c r="AC232" s="39"/>
      <c r="AD232" s="39"/>
    </row>
    <row r="233" spans="1:30" x14ac:dyDescent="0.35">
      <c r="B233" s="416"/>
      <c r="C233" s="77"/>
      <c r="D233" s="39"/>
      <c r="E233" s="39"/>
      <c r="F233" s="39"/>
      <c r="G233" s="390"/>
      <c r="H233" s="257"/>
      <c r="I233" s="257"/>
      <c r="J233" s="37"/>
      <c r="K233" s="39"/>
      <c r="L233" s="39"/>
      <c r="M233" s="39"/>
      <c r="N233" s="39"/>
      <c r="O233" s="39"/>
      <c r="R233" s="77"/>
      <c r="S233" s="39"/>
      <c r="T233" s="39"/>
      <c r="U233" s="39"/>
      <c r="V233" s="390"/>
      <c r="W233" s="257"/>
      <c r="X233" s="257"/>
      <c r="Y233" s="37"/>
      <c r="Z233" s="39"/>
      <c r="AA233" s="39"/>
      <c r="AB233" s="39"/>
      <c r="AC233" s="39"/>
      <c r="AD233" s="39"/>
    </row>
    <row r="234" spans="1:30" ht="18.5" x14ac:dyDescent="0.45">
      <c r="B234" s="416"/>
      <c r="C234" s="575" t="s">
        <v>34</v>
      </c>
      <c r="D234" s="576"/>
      <c r="E234" s="576"/>
      <c r="F234" s="576"/>
      <c r="G234" s="577"/>
      <c r="H234" s="578"/>
      <c r="I234" s="579"/>
      <c r="J234" s="37"/>
      <c r="K234" s="569" t="s">
        <v>683</v>
      </c>
      <c r="L234" s="569"/>
      <c r="M234" s="569"/>
      <c r="N234" s="569"/>
      <c r="O234" s="569"/>
      <c r="R234" s="575" t="s">
        <v>34</v>
      </c>
      <c r="S234" s="576"/>
      <c r="T234" s="576"/>
      <c r="U234" s="576"/>
      <c r="V234" s="577"/>
      <c r="W234" s="578"/>
      <c r="X234" s="579"/>
      <c r="Y234" s="37"/>
      <c r="Z234" s="569" t="s">
        <v>683</v>
      </c>
      <c r="AA234" s="569"/>
      <c r="AB234" s="569"/>
      <c r="AC234" s="569"/>
      <c r="AD234" s="569"/>
    </row>
    <row r="235" spans="1:30" ht="15.5" x14ac:dyDescent="0.35">
      <c r="B235" s="416"/>
      <c r="C235" s="51" t="s">
        <v>35</v>
      </c>
      <c r="D235" s="19"/>
      <c r="E235" s="21"/>
      <c r="F235" s="19"/>
      <c r="G235" s="273"/>
      <c r="H235" s="295"/>
      <c r="I235" s="19"/>
      <c r="J235" s="37"/>
      <c r="K235" s="39"/>
      <c r="L235" s="39"/>
      <c r="M235" s="39"/>
      <c r="N235" s="39" t="s">
        <v>40</v>
      </c>
      <c r="O235" s="39"/>
      <c r="R235" s="51" t="s">
        <v>35</v>
      </c>
      <c r="S235" s="19"/>
      <c r="T235" s="21"/>
      <c r="U235" s="19"/>
      <c r="V235" s="273"/>
      <c r="W235" s="295"/>
      <c r="X235" s="19"/>
      <c r="Y235" s="37"/>
      <c r="Z235" s="39"/>
      <c r="AA235" s="39"/>
      <c r="AB235" s="39"/>
      <c r="AC235" s="39" t="s">
        <v>40</v>
      </c>
      <c r="AD235" s="39"/>
    </row>
    <row r="236" spans="1:30" ht="22" x14ac:dyDescent="0.35">
      <c r="B236" s="416"/>
      <c r="C236" s="44" t="s">
        <v>36</v>
      </c>
      <c r="D236" s="316" t="s">
        <v>37</v>
      </c>
      <c r="E236" s="122" t="s">
        <v>25</v>
      </c>
      <c r="F236" s="316" t="s">
        <v>38</v>
      </c>
      <c r="G236" s="268" t="s">
        <v>82</v>
      </c>
      <c r="H236" s="296" t="s">
        <v>505</v>
      </c>
      <c r="I236" s="19"/>
      <c r="J236" s="37"/>
      <c r="K236" s="39"/>
      <c r="L236" s="39"/>
      <c r="M236" s="39"/>
      <c r="N236" s="54" t="s">
        <v>669</v>
      </c>
      <c r="O236" s="50" t="s">
        <v>43</v>
      </c>
      <c r="R236" s="44" t="s">
        <v>36</v>
      </c>
      <c r="S236" s="316" t="s">
        <v>37</v>
      </c>
      <c r="T236" s="122" t="s">
        <v>25</v>
      </c>
      <c r="U236" s="316" t="s">
        <v>38</v>
      </c>
      <c r="V236" s="268" t="s">
        <v>82</v>
      </c>
      <c r="W236" s="296" t="s">
        <v>505</v>
      </c>
      <c r="X236" s="19"/>
      <c r="Y236" s="37"/>
      <c r="Z236" s="39"/>
      <c r="AA236" s="39"/>
      <c r="AB236" s="39"/>
      <c r="AC236" s="54" t="s">
        <v>669</v>
      </c>
      <c r="AD236" s="50" t="s">
        <v>43</v>
      </c>
    </row>
    <row r="237" spans="1:30" x14ac:dyDescent="0.35">
      <c r="B237" s="416"/>
      <c r="C237" s="14" t="s">
        <v>476</v>
      </c>
      <c r="D237" s="36">
        <v>640000</v>
      </c>
      <c r="E237" s="124">
        <f>'Säilörehun tuotantokustannus'!N262/100</f>
        <v>0</v>
      </c>
      <c r="F237" s="22">
        <v>0.08</v>
      </c>
      <c r="G237" s="269">
        <f>D237*E237*F237/H226</f>
        <v>0</v>
      </c>
      <c r="H237" s="387">
        <f>'Säilörehun tuotantokustannus'!F228</f>
        <v>0</v>
      </c>
      <c r="I237" s="387">
        <f>IF(E229=0,0,ROUNDUP(D237*H237*F237/E229*I266,3))</f>
        <v>0</v>
      </c>
      <c r="J237" s="37"/>
      <c r="K237" s="61" t="s">
        <v>35</v>
      </c>
      <c r="L237" s="39"/>
      <c r="M237" s="39"/>
      <c r="N237" s="383">
        <f>SUM(N238:N251)</f>
        <v>3.5175271821289615</v>
      </c>
      <c r="O237" s="63">
        <f>IF(N$265=0,0,N237/N$265)</f>
        <v>5.2860444751510194E-2</v>
      </c>
      <c r="R237" s="14" t="s">
        <v>476</v>
      </c>
      <c r="S237" s="36">
        <v>640000</v>
      </c>
      <c r="T237" s="124">
        <f>'Säilörehun tuotantokustannus'!AC262/100</f>
        <v>0</v>
      </c>
      <c r="U237" s="22">
        <v>0.08</v>
      </c>
      <c r="V237" s="269">
        <f>S237*T237*U237/W226</f>
        <v>0</v>
      </c>
      <c r="W237" s="387">
        <f>'Säilörehun tuotantokustannus'!U228</f>
        <v>0</v>
      </c>
      <c r="X237" s="387">
        <f>IF(T229=0,0,ROUNDUP(S237*W237*U237/T229*X266,3))</f>
        <v>0</v>
      </c>
      <c r="Y237" s="37"/>
      <c r="Z237" s="61" t="s">
        <v>35</v>
      </c>
      <c r="AA237" s="39"/>
      <c r="AB237" s="39"/>
      <c r="AC237" s="383">
        <f>SUM(AC238:AC251)</f>
        <v>3.5175271821289615</v>
      </c>
      <c r="AD237" s="63">
        <f>IF(AC$265=0,0,AC237/AC$265)</f>
        <v>5.2860444751510194E-2</v>
      </c>
    </row>
    <row r="238" spans="1:30" x14ac:dyDescent="0.35">
      <c r="B238" s="416"/>
      <c r="C238" s="14" t="s">
        <v>477</v>
      </c>
      <c r="D238" s="36">
        <v>32680</v>
      </c>
      <c r="E238" s="394">
        <v>0.16</v>
      </c>
      <c r="F238" s="22">
        <f>F$237</f>
        <v>0.08</v>
      </c>
      <c r="G238" s="269">
        <f>D238*E238*F238/H226</f>
        <v>41.830400000000004</v>
      </c>
      <c r="H238" s="297"/>
      <c r="I238" s="19"/>
      <c r="J238" s="37"/>
      <c r="K238" s="39"/>
      <c r="L238" s="68" t="str">
        <f>C237</f>
        <v xml:space="preserve">   Säilörehu</v>
      </c>
      <c r="M238" s="39"/>
      <c r="N238" s="529">
        <f>G237*(1-I$266)/(E$228/H$226)*100</f>
        <v>0</v>
      </c>
      <c r="O238" s="69">
        <f t="shared" ref="O238:O263" si="48">IF(N$265=0,0,N238/N$265)</f>
        <v>0</v>
      </c>
      <c r="R238" s="14" t="s">
        <v>477</v>
      </c>
      <c r="S238" s="36">
        <v>32680</v>
      </c>
      <c r="T238" s="394">
        <v>0.16</v>
      </c>
      <c r="U238" s="22">
        <f>U$237</f>
        <v>0.08</v>
      </c>
      <c r="V238" s="269">
        <f>S238*T238*U238/W226</f>
        <v>41.830400000000004</v>
      </c>
      <c r="W238" s="297"/>
      <c r="X238" s="19"/>
      <c r="Y238" s="37"/>
      <c r="Z238" s="39"/>
      <c r="AA238" s="68" t="str">
        <f>R237</f>
        <v xml:space="preserve">   Säilörehu</v>
      </c>
      <c r="AB238" s="39"/>
      <c r="AC238" s="529">
        <f>V237*(1-X$266)/(T$228/W$226)*100</f>
        <v>0</v>
      </c>
      <c r="AD238" s="69">
        <f t="shared" ref="AD238:AD263" si="49">IF(AC$265=0,0,AC238/AC$265)</f>
        <v>0</v>
      </c>
    </row>
    <row r="239" spans="1:30" x14ac:dyDescent="0.35">
      <c r="B239" s="416"/>
      <c r="C239" s="14" t="s">
        <v>478</v>
      </c>
      <c r="D239" s="36">
        <v>0</v>
      </c>
      <c r="E239" s="394">
        <v>0.12</v>
      </c>
      <c r="F239" s="22">
        <f>F$237</f>
        <v>0.08</v>
      </c>
      <c r="G239" s="269">
        <f>D239*E239*F239/H226</f>
        <v>0</v>
      </c>
      <c r="H239" s="297"/>
      <c r="I239" s="19"/>
      <c r="J239" s="37"/>
      <c r="K239" s="39"/>
      <c r="L239" s="68" t="str">
        <f>C238</f>
        <v xml:space="preserve">   Rehuvilja</v>
      </c>
      <c r="M239" s="39"/>
      <c r="N239" s="529">
        <f>G238*(1-I$266)/(E$228/H$226)*100</f>
        <v>0.97528072859744985</v>
      </c>
      <c r="O239" s="69">
        <f t="shared" si="48"/>
        <v>1.4656254351966514E-2</v>
      </c>
      <c r="R239" s="14" t="s">
        <v>478</v>
      </c>
      <c r="S239" s="36">
        <v>0</v>
      </c>
      <c r="T239" s="394">
        <v>0.12</v>
      </c>
      <c r="U239" s="22">
        <f>U$237</f>
        <v>0.08</v>
      </c>
      <c r="V239" s="269">
        <f>S239*T239*U239/W226</f>
        <v>0</v>
      </c>
      <c r="W239" s="297"/>
      <c r="X239" s="19"/>
      <c r="Y239" s="37"/>
      <c r="Z239" s="39"/>
      <c r="AA239" s="68" t="str">
        <f>R238</f>
        <v xml:space="preserve">   Rehuvilja</v>
      </c>
      <c r="AB239" s="39"/>
      <c r="AC239" s="529">
        <f>V238*(1-X$266)/(T$228/W$226)*100</f>
        <v>0.97528072859744985</v>
      </c>
      <c r="AD239" s="69">
        <f t="shared" si="49"/>
        <v>1.4656254351966514E-2</v>
      </c>
    </row>
    <row r="240" spans="1:30" x14ac:dyDescent="0.35">
      <c r="B240" s="416"/>
      <c r="C240" s="14" t="s">
        <v>479</v>
      </c>
      <c r="D240" s="36">
        <v>0</v>
      </c>
      <c r="E240" s="394">
        <v>0.12</v>
      </c>
      <c r="F240" s="22">
        <f>F$237</f>
        <v>0.08</v>
      </c>
      <c r="G240" s="269">
        <f>D240*E240*F240/H226</f>
        <v>0</v>
      </c>
      <c r="H240" s="297"/>
      <c r="I240" s="19"/>
      <c r="J240" s="37"/>
      <c r="K240" s="39"/>
      <c r="L240" s="68" t="str">
        <f>C239</f>
        <v xml:space="preserve">   Kokoviljasäilörehu</v>
      </c>
      <c r="M240" s="39"/>
      <c r="N240" s="529">
        <f>G239*(1-I$266)/(E$228/H$226)*100</f>
        <v>0</v>
      </c>
      <c r="O240" s="69">
        <f t="shared" si="48"/>
        <v>0</v>
      </c>
      <c r="R240" s="14" t="s">
        <v>479</v>
      </c>
      <c r="S240" s="36">
        <v>0</v>
      </c>
      <c r="T240" s="394">
        <v>0.12</v>
      </c>
      <c r="U240" s="22">
        <f>U$237</f>
        <v>0.08</v>
      </c>
      <c r="V240" s="269">
        <f>S240*T240*U240/W226</f>
        <v>0</v>
      </c>
      <c r="W240" s="297"/>
      <c r="X240" s="19"/>
      <c r="Y240" s="37"/>
      <c r="Z240" s="39"/>
      <c r="AA240" s="68" t="str">
        <f>R239</f>
        <v xml:space="preserve">   Kokoviljasäilörehu</v>
      </c>
      <c r="AB240" s="39"/>
      <c r="AC240" s="529">
        <f>V239*(1-X$266)/(T$228/W$226)*100</f>
        <v>0</v>
      </c>
      <c r="AD240" s="69">
        <f t="shared" si="49"/>
        <v>0</v>
      </c>
    </row>
    <row r="241" spans="2:30" x14ac:dyDescent="0.35">
      <c r="B241" s="416"/>
      <c r="C241" s="14" t="s">
        <v>480</v>
      </c>
      <c r="D241" s="36">
        <v>0</v>
      </c>
      <c r="E241" s="394">
        <v>0.12</v>
      </c>
      <c r="F241" s="22">
        <f>F$237</f>
        <v>0.08</v>
      </c>
      <c r="G241" s="269">
        <f>D241*E241*F241/H226</f>
        <v>0</v>
      </c>
      <c r="H241" s="297"/>
      <c r="I241" s="19"/>
      <c r="J241" s="37"/>
      <c r="K241" s="39"/>
      <c r="L241" s="68" t="str">
        <f>C240</f>
        <v xml:space="preserve">   Laidun</v>
      </c>
      <c r="M241" s="39"/>
      <c r="N241" s="529">
        <f>G240*(1-I$266)/(E$228/H$226)*100</f>
        <v>0</v>
      </c>
      <c r="O241" s="69">
        <f t="shared" si="48"/>
        <v>0</v>
      </c>
      <c r="R241" s="14" t="s">
        <v>480</v>
      </c>
      <c r="S241" s="36">
        <v>0</v>
      </c>
      <c r="T241" s="394">
        <v>0.12</v>
      </c>
      <c r="U241" s="22">
        <f>U$237</f>
        <v>0.08</v>
      </c>
      <c r="V241" s="269">
        <f>S241*T241*U241/W226</f>
        <v>0</v>
      </c>
      <c r="W241" s="297"/>
      <c r="X241" s="19"/>
      <c r="Y241" s="37"/>
      <c r="Z241" s="39"/>
      <c r="AA241" s="68" t="str">
        <f>R240</f>
        <v xml:space="preserve">   Laidun</v>
      </c>
      <c r="AB241" s="39"/>
      <c r="AC241" s="529">
        <f>V240*(1-X$266)/(T$228/W$226)*100</f>
        <v>0</v>
      </c>
      <c r="AD241" s="69">
        <f t="shared" si="49"/>
        <v>0</v>
      </c>
    </row>
    <row r="242" spans="2:30" x14ac:dyDescent="0.35">
      <c r="B242" s="416"/>
      <c r="C242" s="39"/>
      <c r="D242" s="39"/>
      <c r="E242" s="395" t="s">
        <v>75</v>
      </c>
      <c r="F242" s="395" t="s">
        <v>38</v>
      </c>
      <c r="G242" s="268" t="s">
        <v>82</v>
      </c>
      <c r="H242" s="297"/>
      <c r="I242" s="19"/>
      <c r="J242" s="37"/>
      <c r="K242" s="39"/>
      <c r="L242" s="68" t="str">
        <f>C241</f>
        <v xml:space="preserve">   Muut korsirehut</v>
      </c>
      <c r="M242" s="39"/>
      <c r="N242" s="529">
        <f>G241*(1-I$266)/(E$228/H$226)*100</f>
        <v>0</v>
      </c>
      <c r="O242" s="69">
        <f t="shared" si="48"/>
        <v>0</v>
      </c>
      <c r="R242" s="39"/>
      <c r="S242" s="39"/>
      <c r="T242" s="395" t="s">
        <v>75</v>
      </c>
      <c r="U242" s="395" t="s">
        <v>38</v>
      </c>
      <c r="V242" s="268" t="s">
        <v>82</v>
      </c>
      <c r="W242" s="297"/>
      <c r="X242" s="19"/>
      <c r="Y242" s="37"/>
      <c r="Z242" s="39"/>
      <c r="AA242" s="68" t="str">
        <f>R241</f>
        <v xml:space="preserve">   Muut korsirehut</v>
      </c>
      <c r="AB242" s="39"/>
      <c r="AC242" s="529">
        <f>V241*(1-X$266)/(T$228/W$226)*100</f>
        <v>0</v>
      </c>
      <c r="AD242" s="69">
        <f t="shared" si="49"/>
        <v>0</v>
      </c>
    </row>
    <row r="243" spans="2:30" x14ac:dyDescent="0.35">
      <c r="B243" s="416"/>
      <c r="C243" s="314" t="s">
        <v>47</v>
      </c>
      <c r="D243" s="315"/>
      <c r="E243" s="36">
        <v>1200</v>
      </c>
      <c r="F243" s="22">
        <f t="shared" ref="F243:F251" si="50">F$237</f>
        <v>0.08</v>
      </c>
      <c r="G243" s="269">
        <f>E243*F243/H226</f>
        <v>9.6</v>
      </c>
      <c r="H243" s="297"/>
      <c r="I243" s="19"/>
      <c r="J243" s="37"/>
      <c r="K243" s="39"/>
      <c r="L243" s="68" t="str">
        <f t="shared" ref="L243:L251" si="51">C243</f>
        <v>Ostorehut</v>
      </c>
      <c r="M243" s="39"/>
      <c r="N243" s="529">
        <f>G243*(1-I$266)/(E$228/H$226)*100</f>
        <v>0.2238251366120218</v>
      </c>
      <c r="O243" s="69">
        <f t="shared" si="48"/>
        <v>3.3635834651085934E-3</v>
      </c>
      <c r="R243" s="314" t="s">
        <v>47</v>
      </c>
      <c r="S243" s="315"/>
      <c r="T243" s="36">
        <v>1200</v>
      </c>
      <c r="U243" s="22">
        <f t="shared" ref="U243:U251" si="52">U$237</f>
        <v>0.08</v>
      </c>
      <c r="V243" s="269">
        <f>T243*U243/W226</f>
        <v>9.6</v>
      </c>
      <c r="W243" s="297"/>
      <c r="X243" s="19"/>
      <c r="Y243" s="37"/>
      <c r="Z243" s="39"/>
      <c r="AA243" s="68" t="str">
        <f t="shared" ref="AA243:AA251" si="53">R243</f>
        <v>Ostorehut</v>
      </c>
      <c r="AB243" s="39"/>
      <c r="AC243" s="529">
        <f>V243*(1-X$266)/(T$228/W$226)*100</f>
        <v>0.2238251366120218</v>
      </c>
      <c r="AD243" s="69">
        <f t="shared" si="49"/>
        <v>3.3635834651085934E-3</v>
      </c>
    </row>
    <row r="244" spans="2:30" x14ac:dyDescent="0.35">
      <c r="B244" s="416"/>
      <c r="C244" s="877" t="s">
        <v>72</v>
      </c>
      <c r="D244" s="878"/>
      <c r="E244" s="36">
        <v>1550</v>
      </c>
      <c r="F244" s="22">
        <f t="shared" si="50"/>
        <v>0.08</v>
      </c>
      <c r="G244" s="269">
        <f>E244*F244/H226</f>
        <v>12.4</v>
      </c>
      <c r="H244" s="297"/>
      <c r="I244" s="19"/>
      <c r="J244" s="37"/>
      <c r="K244" s="39"/>
      <c r="L244" s="68" t="str">
        <f t="shared" si="51"/>
        <v>Kivennäiset</v>
      </c>
      <c r="M244" s="39"/>
      <c r="N244" s="529">
        <f t="shared" ref="N244:N251" si="54">G244*(1-I$266)/(E$228/H$226)*100</f>
        <v>0.28910746812386157</v>
      </c>
      <c r="O244" s="69">
        <f t="shared" si="48"/>
        <v>4.3446286424319346E-3</v>
      </c>
      <c r="R244" s="877" t="s">
        <v>72</v>
      </c>
      <c r="S244" s="878"/>
      <c r="T244" s="36">
        <v>1550</v>
      </c>
      <c r="U244" s="22">
        <f t="shared" si="52"/>
        <v>0.08</v>
      </c>
      <c r="V244" s="269">
        <f>T244*U244/W226</f>
        <v>12.4</v>
      </c>
      <c r="W244" s="297"/>
      <c r="X244" s="19"/>
      <c r="Y244" s="37"/>
      <c r="Z244" s="39"/>
      <c r="AA244" s="68" t="str">
        <f t="shared" si="53"/>
        <v>Kivennäiset</v>
      </c>
      <c r="AB244" s="39"/>
      <c r="AC244" s="529">
        <f t="shared" ref="AC244:AC251" si="55">V244*(1-X$266)/(T$228/W$226)*100</f>
        <v>0.28910746812386157</v>
      </c>
      <c r="AD244" s="69">
        <f t="shared" si="49"/>
        <v>4.3446286424319346E-3</v>
      </c>
    </row>
    <row r="245" spans="2:30" x14ac:dyDescent="0.35">
      <c r="B245" s="416"/>
      <c r="C245" s="877" t="s">
        <v>481</v>
      </c>
      <c r="D245" s="878"/>
      <c r="E245" s="36">
        <v>4000</v>
      </c>
      <c r="F245" s="22">
        <f t="shared" si="50"/>
        <v>0.08</v>
      </c>
      <c r="G245" s="269">
        <f>E245*F245/H226</f>
        <v>32</v>
      </c>
      <c r="H245" s="297"/>
      <c r="I245" s="19"/>
      <c r="J245" s="37"/>
      <c r="K245" s="39"/>
      <c r="L245" s="68" t="str">
        <f t="shared" si="51"/>
        <v>Lääkintä</v>
      </c>
      <c r="M245" s="39"/>
      <c r="N245" s="529">
        <f t="shared" si="54"/>
        <v>0.74608378870673941</v>
      </c>
      <c r="O245" s="69">
        <f t="shared" si="48"/>
        <v>1.1211944883695313E-2</v>
      </c>
      <c r="R245" s="877" t="s">
        <v>481</v>
      </c>
      <c r="S245" s="878"/>
      <c r="T245" s="36">
        <v>4000</v>
      </c>
      <c r="U245" s="22">
        <f t="shared" si="52"/>
        <v>0.08</v>
      </c>
      <c r="V245" s="269">
        <f>T245*U245/W226</f>
        <v>32</v>
      </c>
      <c r="W245" s="297"/>
      <c r="X245" s="19"/>
      <c r="Y245" s="37"/>
      <c r="Z245" s="39"/>
      <c r="AA245" s="68" t="str">
        <f t="shared" si="53"/>
        <v>Lääkintä</v>
      </c>
      <c r="AB245" s="39"/>
      <c r="AC245" s="529">
        <f t="shared" si="55"/>
        <v>0.74608378870673941</v>
      </c>
      <c r="AD245" s="69">
        <f t="shared" si="49"/>
        <v>1.1211944883695313E-2</v>
      </c>
    </row>
    <row r="246" spans="2:30" x14ac:dyDescent="0.35">
      <c r="B246" s="416"/>
      <c r="C246" s="877" t="s">
        <v>482</v>
      </c>
      <c r="D246" s="878"/>
      <c r="E246" s="36">
        <v>1700</v>
      </c>
      <c r="F246" s="22">
        <f t="shared" si="50"/>
        <v>0.08</v>
      </c>
      <c r="G246" s="269">
        <f>E246*F246/H226</f>
        <v>13.6</v>
      </c>
      <c r="H246" s="297"/>
      <c r="I246" s="19"/>
      <c r="J246" s="37"/>
      <c r="K246" s="39"/>
      <c r="L246" s="68" t="str">
        <f t="shared" si="51"/>
        <v>Siemennys, jalostus ym.</v>
      </c>
      <c r="M246" s="39"/>
      <c r="N246" s="529">
        <f t="shared" si="54"/>
        <v>0.31708561020036424</v>
      </c>
      <c r="O246" s="69">
        <f t="shared" si="48"/>
        <v>4.765076575570508E-3</v>
      </c>
      <c r="R246" s="877" t="s">
        <v>482</v>
      </c>
      <c r="S246" s="878"/>
      <c r="T246" s="36">
        <v>1700</v>
      </c>
      <c r="U246" s="22">
        <f t="shared" si="52"/>
        <v>0.08</v>
      </c>
      <c r="V246" s="269">
        <f>T246*U246/W226</f>
        <v>13.6</v>
      </c>
      <c r="W246" s="297"/>
      <c r="X246" s="19"/>
      <c r="Y246" s="37"/>
      <c r="Z246" s="39"/>
      <c r="AA246" s="68" t="str">
        <f t="shared" si="53"/>
        <v>Siemennys, jalostus ym.</v>
      </c>
      <c r="AB246" s="39"/>
      <c r="AC246" s="529">
        <f t="shared" si="55"/>
        <v>0.31708561020036424</v>
      </c>
      <c r="AD246" s="69">
        <f t="shared" si="49"/>
        <v>4.765076575570508E-3</v>
      </c>
    </row>
    <row r="247" spans="2:30" x14ac:dyDescent="0.35">
      <c r="B247" s="416"/>
      <c r="C247" s="877" t="s">
        <v>49</v>
      </c>
      <c r="D247" s="878"/>
      <c r="E247" s="36">
        <v>2000</v>
      </c>
      <c r="F247" s="22">
        <f t="shared" si="50"/>
        <v>0.08</v>
      </c>
      <c r="G247" s="269">
        <f>E247*F247/H226</f>
        <v>16</v>
      </c>
      <c r="H247" s="297"/>
      <c r="I247" s="19"/>
      <c r="J247" s="37"/>
      <c r="K247" s="39"/>
      <c r="L247" s="68" t="str">
        <f t="shared" si="51"/>
        <v>Kuivikkeet</v>
      </c>
      <c r="M247" s="39"/>
      <c r="N247" s="529">
        <f t="shared" si="54"/>
        <v>0.37304189435336971</v>
      </c>
      <c r="O247" s="69">
        <f t="shared" si="48"/>
        <v>5.6059724418476564E-3</v>
      </c>
      <c r="R247" s="877" t="s">
        <v>49</v>
      </c>
      <c r="S247" s="878"/>
      <c r="T247" s="36">
        <v>2000</v>
      </c>
      <c r="U247" s="22">
        <f t="shared" si="52"/>
        <v>0.08</v>
      </c>
      <c r="V247" s="269">
        <f>T247*U247/W226</f>
        <v>16</v>
      </c>
      <c r="W247" s="297"/>
      <c r="X247" s="19"/>
      <c r="Y247" s="37"/>
      <c r="Z247" s="39"/>
      <c r="AA247" s="68" t="str">
        <f t="shared" si="53"/>
        <v>Kuivikkeet</v>
      </c>
      <c r="AB247" s="39"/>
      <c r="AC247" s="529">
        <f t="shared" si="55"/>
        <v>0.37304189435336971</v>
      </c>
      <c r="AD247" s="69">
        <f t="shared" si="49"/>
        <v>5.6059724418476564E-3</v>
      </c>
    </row>
    <row r="248" spans="2:30" x14ac:dyDescent="0.35">
      <c r="B248" s="416"/>
      <c r="C248" s="879" t="s">
        <v>50</v>
      </c>
      <c r="D248" s="875"/>
      <c r="E248" s="36">
        <v>1000</v>
      </c>
      <c r="F248" s="22">
        <f t="shared" si="50"/>
        <v>0.08</v>
      </c>
      <c r="G248" s="269">
        <f>E248*F248/H226</f>
        <v>8</v>
      </c>
      <c r="H248" s="297"/>
      <c r="I248" s="19"/>
      <c r="J248" s="37"/>
      <c r="K248" s="39"/>
      <c r="L248" s="282" t="str">
        <f t="shared" si="51"/>
        <v>Muut muuttuvat kustannukset</v>
      </c>
      <c r="M248" s="39"/>
      <c r="N248" s="529">
        <f t="shared" si="54"/>
        <v>0.18652094717668485</v>
      </c>
      <c r="O248" s="69">
        <f t="shared" si="48"/>
        <v>2.8029862209238282E-3</v>
      </c>
      <c r="R248" s="879" t="s">
        <v>50</v>
      </c>
      <c r="S248" s="875"/>
      <c r="T248" s="36">
        <v>1000</v>
      </c>
      <c r="U248" s="22">
        <f t="shared" si="52"/>
        <v>0.08</v>
      </c>
      <c r="V248" s="269">
        <f>T248*U248/W226</f>
        <v>8</v>
      </c>
      <c r="W248" s="297"/>
      <c r="X248" s="19"/>
      <c r="Y248" s="37"/>
      <c r="Z248" s="39"/>
      <c r="AA248" s="282" t="str">
        <f t="shared" si="53"/>
        <v>Muut muuttuvat kustannukset</v>
      </c>
      <c r="AB248" s="39"/>
      <c r="AC248" s="529">
        <f t="shared" si="55"/>
        <v>0.18652094717668485</v>
      </c>
      <c r="AD248" s="69">
        <f t="shared" si="49"/>
        <v>2.8029862209238282E-3</v>
      </c>
    </row>
    <row r="249" spans="2:30" x14ac:dyDescent="0.35">
      <c r="B249" s="416"/>
      <c r="C249" s="877" t="s">
        <v>51</v>
      </c>
      <c r="D249" s="878"/>
      <c r="E249" s="36">
        <v>2000</v>
      </c>
      <c r="F249" s="22">
        <f t="shared" si="50"/>
        <v>0.08</v>
      </c>
      <c r="G249" s="269">
        <f>E249*F249/H226</f>
        <v>16</v>
      </c>
      <c r="H249" s="297"/>
      <c r="I249" s="19"/>
      <c r="J249" s="37"/>
      <c r="K249" s="39"/>
      <c r="L249" s="68" t="str">
        <f t="shared" si="51"/>
        <v>Eläinten ostot</v>
      </c>
      <c r="M249" s="39"/>
      <c r="N249" s="529">
        <f t="shared" si="54"/>
        <v>0.37304189435336971</v>
      </c>
      <c r="O249" s="69">
        <f t="shared" si="48"/>
        <v>5.6059724418476564E-3</v>
      </c>
      <c r="R249" s="877" t="s">
        <v>51</v>
      </c>
      <c r="S249" s="878"/>
      <c r="T249" s="36">
        <v>2000</v>
      </c>
      <c r="U249" s="22">
        <f t="shared" si="52"/>
        <v>0.08</v>
      </c>
      <c r="V249" s="269">
        <f>T249*U249/W226</f>
        <v>16</v>
      </c>
      <c r="W249" s="297"/>
      <c r="X249" s="19"/>
      <c r="Y249" s="37"/>
      <c r="Z249" s="39"/>
      <c r="AA249" s="68" t="str">
        <f t="shared" si="53"/>
        <v>Eläinten ostot</v>
      </c>
      <c r="AB249" s="39"/>
      <c r="AC249" s="529">
        <f t="shared" si="55"/>
        <v>0.37304189435336971</v>
      </c>
      <c r="AD249" s="69">
        <f t="shared" si="49"/>
        <v>5.6059724418476564E-3</v>
      </c>
    </row>
    <row r="250" spans="2:30" x14ac:dyDescent="0.35">
      <c r="B250" s="416"/>
      <c r="C250" s="291" t="s">
        <v>52</v>
      </c>
      <c r="D250" s="36">
        <f>E249</f>
        <v>2000</v>
      </c>
      <c r="E250" s="36">
        <f>D250*I262</f>
        <v>100</v>
      </c>
      <c r="F250" s="22">
        <f t="shared" si="50"/>
        <v>0.08</v>
      </c>
      <c r="G250" s="269">
        <f>E250*F250/H226</f>
        <v>0.8</v>
      </c>
      <c r="H250" s="297"/>
      <c r="I250" s="19"/>
      <c r="J250" s="37"/>
      <c r="K250" s="39"/>
      <c r="L250" s="68" t="str">
        <f t="shared" si="51"/>
        <v>Eläinpääoman korko</v>
      </c>
      <c r="M250" s="55"/>
      <c r="N250" s="529">
        <f t="shared" si="54"/>
        <v>1.8652094717668485E-2</v>
      </c>
      <c r="O250" s="69">
        <f t="shared" si="48"/>
        <v>2.8029862209238282E-4</v>
      </c>
      <c r="R250" s="291" t="s">
        <v>52</v>
      </c>
      <c r="S250" s="36">
        <f>T249</f>
        <v>2000</v>
      </c>
      <c r="T250" s="36">
        <f>S250*X262</f>
        <v>100</v>
      </c>
      <c r="U250" s="22">
        <f t="shared" si="52"/>
        <v>0.08</v>
      </c>
      <c r="V250" s="269">
        <f>T250*U250/W226</f>
        <v>0.8</v>
      </c>
      <c r="W250" s="297"/>
      <c r="X250" s="19"/>
      <c r="Y250" s="37"/>
      <c r="Z250" s="39"/>
      <c r="AA250" s="68" t="str">
        <f t="shared" si="53"/>
        <v>Eläinpääoman korko</v>
      </c>
      <c r="AB250" s="55"/>
      <c r="AC250" s="529">
        <f t="shared" si="55"/>
        <v>1.8652094717668485E-2</v>
      </c>
      <c r="AD250" s="69">
        <f t="shared" si="49"/>
        <v>2.8029862209238282E-4</v>
      </c>
    </row>
    <row r="251" spans="2:30" x14ac:dyDescent="0.35">
      <c r="B251" s="416"/>
      <c r="C251" s="291" t="s">
        <v>53</v>
      </c>
      <c r="D251" s="36">
        <f>SUM(G235:G241,G244:G248,G254:G255)*I251</f>
        <v>1596.3482399999998</v>
      </c>
      <c r="E251" s="36">
        <f>D251*I262</f>
        <v>79.81741199999999</v>
      </c>
      <c r="F251" s="22">
        <f t="shared" si="50"/>
        <v>0.08</v>
      </c>
      <c r="G251" s="269">
        <f>E251*F251/H226</f>
        <v>0.63853929599999992</v>
      </c>
      <c r="H251" s="297"/>
      <c r="I251" s="22">
        <v>0.6</v>
      </c>
      <c r="J251" s="37"/>
      <c r="K251" s="39"/>
      <c r="L251" s="68" t="str">
        <f t="shared" si="51"/>
        <v>Liikepääoman korko</v>
      </c>
      <c r="M251" s="73"/>
      <c r="N251" s="529">
        <f t="shared" si="54"/>
        <v>1.4887619287431691E-2</v>
      </c>
      <c r="O251" s="69">
        <f t="shared" si="48"/>
        <v>2.2372710602580021E-4</v>
      </c>
      <c r="R251" s="291" t="s">
        <v>53</v>
      </c>
      <c r="S251" s="36">
        <f>SUM(V235:V241,V244:V248,V254:V255)*X251</f>
        <v>1596.3482399999998</v>
      </c>
      <c r="T251" s="36">
        <f>S251*X262</f>
        <v>79.81741199999999</v>
      </c>
      <c r="U251" s="22">
        <f t="shared" si="52"/>
        <v>0.08</v>
      </c>
      <c r="V251" s="269">
        <f>T251*U251/W226</f>
        <v>0.63853929599999992</v>
      </c>
      <c r="W251" s="297"/>
      <c r="X251" s="22">
        <v>0.6</v>
      </c>
      <c r="Y251" s="37"/>
      <c r="Z251" s="39"/>
      <c r="AA251" s="68" t="str">
        <f t="shared" si="53"/>
        <v>Liikepääoman korko</v>
      </c>
      <c r="AB251" s="73"/>
      <c r="AC251" s="529">
        <f t="shared" si="55"/>
        <v>1.4887619287431691E-2</v>
      </c>
      <c r="AD251" s="69">
        <f t="shared" si="49"/>
        <v>2.2372710602580021E-4</v>
      </c>
    </row>
    <row r="252" spans="2:30" x14ac:dyDescent="0.35">
      <c r="B252" s="416"/>
      <c r="C252" s="19"/>
      <c r="D252" s="19"/>
      <c r="E252" s="19"/>
      <c r="F252" s="19"/>
      <c r="G252" s="273"/>
      <c r="H252" s="297"/>
      <c r="I252" s="19"/>
      <c r="J252" s="37"/>
      <c r="K252" s="39"/>
      <c r="L252" s="39"/>
      <c r="M252" s="39"/>
      <c r="N252" s="529"/>
      <c r="O252" s="39"/>
      <c r="R252" s="19"/>
      <c r="S252" s="19"/>
      <c r="T252" s="19"/>
      <c r="U252" s="19"/>
      <c r="V252" s="273"/>
      <c r="W252" s="297"/>
      <c r="X252" s="19"/>
      <c r="Y252" s="37"/>
      <c r="Z252" s="39"/>
      <c r="AA252" s="39"/>
      <c r="AB252" s="39"/>
      <c r="AC252" s="529"/>
      <c r="AD252" s="39"/>
    </row>
    <row r="253" spans="2:30" ht="15.5" x14ac:dyDescent="0.35">
      <c r="B253" s="416"/>
      <c r="C253" s="51" t="s">
        <v>54</v>
      </c>
      <c r="D253" s="74" t="s">
        <v>55</v>
      </c>
      <c r="E253" s="54" t="s">
        <v>20</v>
      </c>
      <c r="F253" s="316" t="s">
        <v>38</v>
      </c>
      <c r="G253" s="268" t="s">
        <v>82</v>
      </c>
      <c r="H253" s="34" t="s">
        <v>466</v>
      </c>
      <c r="I253" s="34" t="s">
        <v>512</v>
      </c>
      <c r="J253" s="37"/>
      <c r="K253" s="61" t="s">
        <v>54</v>
      </c>
      <c r="L253" s="39"/>
      <c r="M253" s="39"/>
      <c r="N253" s="383">
        <f>SUM(N254:N255)</f>
        <v>59.144626593806919</v>
      </c>
      <c r="O253" s="63">
        <f t="shared" si="48"/>
        <v>0.88880941199106522</v>
      </c>
      <c r="R253" s="51" t="s">
        <v>54</v>
      </c>
      <c r="S253" s="74" t="s">
        <v>55</v>
      </c>
      <c r="T253" s="54" t="s">
        <v>20</v>
      </c>
      <c r="U253" s="316" t="s">
        <v>38</v>
      </c>
      <c r="V253" s="268" t="s">
        <v>82</v>
      </c>
      <c r="W253" s="34" t="s">
        <v>466</v>
      </c>
      <c r="X253" s="34" t="s">
        <v>512</v>
      </c>
      <c r="Y253" s="37"/>
      <c r="Z253" s="61" t="s">
        <v>54</v>
      </c>
      <c r="AA253" s="39"/>
      <c r="AB253" s="39"/>
      <c r="AC253" s="383">
        <f>SUM(AC254:AC255)</f>
        <v>59.144626593806919</v>
      </c>
      <c r="AD253" s="63">
        <f t="shared" si="49"/>
        <v>0.88880941199106522</v>
      </c>
    </row>
    <row r="254" spans="2:30" x14ac:dyDescent="0.35">
      <c r="B254" s="416"/>
      <c r="C254" s="17" t="s">
        <v>56</v>
      </c>
      <c r="D254" s="215">
        <v>4</v>
      </c>
      <c r="E254" s="36">
        <f>D254*365*H254</f>
        <v>24820</v>
      </c>
      <c r="F254" s="22">
        <f>F$14</f>
        <v>1</v>
      </c>
      <c r="G254" s="269">
        <f>E254*F254/H226</f>
        <v>2482</v>
      </c>
      <c r="H254" s="124">
        <f>'Säilörehun tuotantokustannus'!$P$26</f>
        <v>17</v>
      </c>
      <c r="I254" s="215">
        <f>IF(H254=0,0,G254/H254)</f>
        <v>146</v>
      </c>
      <c r="J254" s="37"/>
      <c r="K254" s="39"/>
      <c r="L254" s="39" t="s">
        <v>243</v>
      </c>
      <c r="M254" s="39"/>
      <c r="N254" s="529">
        <f>G254*(1-I$266)/(E$228/H$226)*100</f>
        <v>57.868123861566481</v>
      </c>
      <c r="O254" s="69">
        <f t="shared" si="48"/>
        <v>0.86962647504161783</v>
      </c>
      <c r="R254" s="17" t="s">
        <v>56</v>
      </c>
      <c r="S254" s="215">
        <v>4</v>
      </c>
      <c r="T254" s="36">
        <f>S254*365*W254</f>
        <v>24820</v>
      </c>
      <c r="U254" s="22">
        <f>U$14</f>
        <v>1</v>
      </c>
      <c r="V254" s="269">
        <f>T254*U254/W226</f>
        <v>2482</v>
      </c>
      <c r="W254" s="124">
        <f>'Säilörehun tuotantokustannus'!$P$26</f>
        <v>17</v>
      </c>
      <c r="X254" s="215">
        <f>IF(W254=0,0,V254/W254)</f>
        <v>146</v>
      </c>
      <c r="Y254" s="37"/>
      <c r="Z254" s="39"/>
      <c r="AA254" s="39" t="s">
        <v>243</v>
      </c>
      <c r="AB254" s="39"/>
      <c r="AC254" s="529">
        <f>V254*(1-X$266)/(T$228/W$226)*100</f>
        <v>57.868123861566481</v>
      </c>
      <c r="AD254" s="69">
        <f t="shared" si="49"/>
        <v>0.86962647504161783</v>
      </c>
    </row>
    <row r="255" spans="2:30" x14ac:dyDescent="0.35">
      <c r="B255" s="416"/>
      <c r="C255" s="17" t="s">
        <v>61</v>
      </c>
      <c r="D255" s="215">
        <v>0.1</v>
      </c>
      <c r="E255" s="36">
        <f>D255*365*H255</f>
        <v>547.5</v>
      </c>
      <c r="F255" s="22">
        <f>F$14</f>
        <v>1</v>
      </c>
      <c r="G255" s="269">
        <f>E255*F255/H226</f>
        <v>54.75</v>
      </c>
      <c r="H255" s="124">
        <f>'Säilörehun tuotantokustannus'!$P$27</f>
        <v>15</v>
      </c>
      <c r="I255" s="215">
        <f>IF(H255=0,0,G255/H255)</f>
        <v>3.65</v>
      </c>
      <c r="J255" s="37"/>
      <c r="K255" s="39"/>
      <c r="L255" s="39" t="s">
        <v>62</v>
      </c>
      <c r="M255" s="39"/>
      <c r="N255" s="529">
        <f>G255*(1-I$266)/(E$228/H$226)*100</f>
        <v>1.276502732240437</v>
      </c>
      <c r="O255" s="69">
        <f t="shared" si="48"/>
        <v>1.9182936949447449E-2</v>
      </c>
      <c r="R255" s="17" t="s">
        <v>61</v>
      </c>
      <c r="S255" s="215">
        <v>0.1</v>
      </c>
      <c r="T255" s="36">
        <f>S255*365*W255</f>
        <v>547.5</v>
      </c>
      <c r="U255" s="22">
        <f>U$14</f>
        <v>1</v>
      </c>
      <c r="V255" s="269">
        <f>T255*U255/W226</f>
        <v>54.75</v>
      </c>
      <c r="W255" s="124">
        <f>'Säilörehun tuotantokustannus'!$P$27</f>
        <v>15</v>
      </c>
      <c r="X255" s="215">
        <f>IF(W255=0,0,V255/W255)</f>
        <v>3.65</v>
      </c>
      <c r="Y255" s="37"/>
      <c r="Z255" s="39"/>
      <c r="AA255" s="39" t="s">
        <v>62</v>
      </c>
      <c r="AB255" s="39"/>
      <c r="AC255" s="529">
        <f>V255*(1-X$266)/(T$228/W$226)*100</f>
        <v>1.276502732240437</v>
      </c>
      <c r="AD255" s="69">
        <f t="shared" si="49"/>
        <v>1.9182936949447449E-2</v>
      </c>
    </row>
    <row r="256" spans="2:30" x14ac:dyDescent="0.35">
      <c r="B256" s="416"/>
      <c r="C256" s="19"/>
      <c r="D256" s="19"/>
      <c r="E256" s="19"/>
      <c r="F256" s="19"/>
      <c r="G256" s="273"/>
      <c r="H256" s="297"/>
      <c r="I256" s="19"/>
      <c r="J256" s="37"/>
      <c r="K256" s="39"/>
      <c r="L256" s="39"/>
      <c r="M256" s="39"/>
      <c r="N256" s="529"/>
      <c r="O256" s="39"/>
      <c r="R256" s="19"/>
      <c r="S256" s="19"/>
      <c r="T256" s="19"/>
      <c r="U256" s="19"/>
      <c r="V256" s="273"/>
      <c r="W256" s="297"/>
      <c r="X256" s="19"/>
      <c r="Y256" s="37"/>
      <c r="Z256" s="39"/>
      <c r="AA256" s="39"/>
      <c r="AB256" s="39"/>
      <c r="AC256" s="529"/>
      <c r="AD256" s="39"/>
    </row>
    <row r="257" spans="2:30" ht="16" thickBot="1" x14ac:dyDescent="0.4">
      <c r="B257" s="416"/>
      <c r="C257" s="51" t="s">
        <v>63</v>
      </c>
      <c r="D257" s="19"/>
      <c r="E257" s="19"/>
      <c r="F257" s="20"/>
      <c r="G257" s="391"/>
      <c r="H257" s="297"/>
      <c r="I257" s="19"/>
      <c r="J257" s="37"/>
      <c r="K257" s="39"/>
      <c r="L257" s="39"/>
      <c r="M257" s="39"/>
      <c r="N257" s="529"/>
      <c r="O257" s="39"/>
      <c r="R257" s="51" t="s">
        <v>63</v>
      </c>
      <c r="S257" s="19"/>
      <c r="T257" s="19"/>
      <c r="U257" s="20"/>
      <c r="V257" s="391"/>
      <c r="W257" s="297"/>
      <c r="X257" s="19"/>
      <c r="Y257" s="37"/>
      <c r="Z257" s="39"/>
      <c r="AA257" s="39"/>
      <c r="AB257" s="39"/>
      <c r="AC257" s="529"/>
      <c r="AD257" s="39"/>
    </row>
    <row r="258" spans="2:30" ht="15" thickTop="1" x14ac:dyDescent="0.35">
      <c r="B258" s="416"/>
      <c r="C258" s="277" t="s">
        <v>64</v>
      </c>
      <c r="D258" s="292" t="s">
        <v>65</v>
      </c>
      <c r="E258" s="395" t="s">
        <v>20</v>
      </c>
      <c r="F258" s="395" t="s">
        <v>38</v>
      </c>
      <c r="G258" s="268" t="s">
        <v>82</v>
      </c>
      <c r="H258" s="297"/>
      <c r="I258" s="34" t="s">
        <v>470</v>
      </c>
      <c r="J258" s="37"/>
      <c r="K258" s="61" t="s">
        <v>63</v>
      </c>
      <c r="L258" s="39"/>
      <c r="M258" s="39"/>
      <c r="N258" s="383">
        <f>SUM(N259:N263)</f>
        <v>3.8815009107468117</v>
      </c>
      <c r="O258" s="63">
        <f t="shared" si="48"/>
        <v>5.8330143257424867E-2</v>
      </c>
      <c r="R258" s="277" t="s">
        <v>64</v>
      </c>
      <c r="S258" s="292" t="s">
        <v>65</v>
      </c>
      <c r="T258" s="395" t="s">
        <v>20</v>
      </c>
      <c r="U258" s="395" t="s">
        <v>38</v>
      </c>
      <c r="V258" s="268" t="s">
        <v>82</v>
      </c>
      <c r="W258" s="297"/>
      <c r="X258" s="34" t="s">
        <v>470</v>
      </c>
      <c r="Y258" s="37"/>
      <c r="Z258" s="61" t="s">
        <v>63</v>
      </c>
      <c r="AA258" s="39"/>
      <c r="AB258" s="39"/>
      <c r="AC258" s="383">
        <f>SUM(AC259:AC263)</f>
        <v>3.8815009107468117</v>
      </c>
      <c r="AD258" s="63">
        <f t="shared" si="49"/>
        <v>5.8330143257424867E-2</v>
      </c>
    </row>
    <row r="259" spans="2:30" x14ac:dyDescent="0.35">
      <c r="B259" s="416"/>
      <c r="C259" s="278" t="s">
        <v>66</v>
      </c>
      <c r="D259" s="317">
        <v>76000</v>
      </c>
      <c r="E259" s="16">
        <f>D259/15</f>
        <v>5066.666666666667</v>
      </c>
      <c r="F259" s="22">
        <f>F$237</f>
        <v>0.08</v>
      </c>
      <c r="G259" s="269">
        <f>E259*F259/H226</f>
        <v>40.533333333333339</v>
      </c>
      <c r="H259" s="297"/>
      <c r="I259" s="320">
        <v>0.03</v>
      </c>
      <c r="J259" s="37"/>
      <c r="K259" s="39"/>
      <c r="L259" s="39" t="s">
        <v>67</v>
      </c>
      <c r="M259" s="39"/>
      <c r="N259" s="529">
        <f>G259*(1-I$266)/(E$228/H$226)*100</f>
        <v>0.94503946569520336</v>
      </c>
      <c r="O259" s="69">
        <f t="shared" si="48"/>
        <v>1.4201796852680731E-2</v>
      </c>
      <c r="R259" s="278" t="s">
        <v>66</v>
      </c>
      <c r="S259" s="317">
        <v>76000</v>
      </c>
      <c r="T259" s="16">
        <f>S259/15</f>
        <v>5066.666666666667</v>
      </c>
      <c r="U259" s="22">
        <f>U$237</f>
        <v>0.08</v>
      </c>
      <c r="V259" s="269">
        <f>T259*U259/W226</f>
        <v>40.533333333333339</v>
      </c>
      <c r="W259" s="297"/>
      <c r="X259" s="320">
        <v>0.03</v>
      </c>
      <c r="Y259" s="37"/>
      <c r="Z259" s="39"/>
      <c r="AA259" s="39" t="s">
        <v>67</v>
      </c>
      <c r="AB259" s="39"/>
      <c r="AC259" s="529">
        <f>V259*(1-X$266)/(T$228/W$226)*100</f>
        <v>0.94503946569520336</v>
      </c>
      <c r="AD259" s="69">
        <f t="shared" si="49"/>
        <v>1.4201796852680731E-2</v>
      </c>
    </row>
    <row r="260" spans="2:30" ht="15" thickBot="1" x14ac:dyDescent="0.4">
      <c r="B260" s="416"/>
      <c r="C260" s="279" t="s">
        <v>68</v>
      </c>
      <c r="D260" s="318">
        <v>86000</v>
      </c>
      <c r="E260" s="16">
        <f>D260/15</f>
        <v>5733.333333333333</v>
      </c>
      <c r="F260" s="22">
        <f>F$237</f>
        <v>0.08</v>
      </c>
      <c r="G260" s="269">
        <f>E260*F260/H226</f>
        <v>45.86666666666666</v>
      </c>
      <c r="H260" s="297"/>
      <c r="I260" s="320">
        <v>0.01</v>
      </c>
      <c r="J260" s="37"/>
      <c r="K260" s="39"/>
      <c r="L260" s="39" t="s">
        <v>69</v>
      </c>
      <c r="M260" s="39"/>
      <c r="N260" s="529">
        <f>G260*(1-I$266)/(E$228/H$226)*100</f>
        <v>1.069386763812993</v>
      </c>
      <c r="O260" s="69">
        <f t="shared" si="48"/>
        <v>1.6070454333296614E-2</v>
      </c>
      <c r="R260" s="279" t="s">
        <v>68</v>
      </c>
      <c r="S260" s="318">
        <v>86000</v>
      </c>
      <c r="T260" s="16">
        <f>S260/15</f>
        <v>5733.333333333333</v>
      </c>
      <c r="U260" s="22">
        <f>U$237</f>
        <v>0.08</v>
      </c>
      <c r="V260" s="269">
        <f>T260*U260/W226</f>
        <v>45.86666666666666</v>
      </c>
      <c r="W260" s="297"/>
      <c r="X260" s="320">
        <v>0.01</v>
      </c>
      <c r="Y260" s="37"/>
      <c r="Z260" s="39"/>
      <c r="AA260" s="39" t="s">
        <v>69</v>
      </c>
      <c r="AB260" s="39"/>
      <c r="AC260" s="529">
        <f>V260*(1-X$266)/(T$228/W$226)*100</f>
        <v>1.069386763812993</v>
      </c>
      <c r="AD260" s="69">
        <f t="shared" si="49"/>
        <v>1.6070454333296614E-2</v>
      </c>
    </row>
    <row r="261" spans="2:30" ht="15" thickTop="1" x14ac:dyDescent="0.35">
      <c r="B261" s="416"/>
      <c r="C261" s="276" t="s">
        <v>71</v>
      </c>
      <c r="D261" s="96">
        <v>2300</v>
      </c>
      <c r="E261" s="36">
        <f>D261/H226</f>
        <v>230</v>
      </c>
      <c r="F261" s="22">
        <f>F$237</f>
        <v>0.08</v>
      </c>
      <c r="G261" s="269">
        <f>E261*F261</f>
        <v>18.400000000000002</v>
      </c>
      <c r="H261" s="297"/>
      <c r="I261" s="36">
        <f>(D260*I260+D259*I259)/H226</f>
        <v>314</v>
      </c>
      <c r="J261" s="37"/>
      <c r="K261" s="39"/>
      <c r="L261" s="39" t="s">
        <v>71</v>
      </c>
      <c r="M261" s="39"/>
      <c r="N261" s="529">
        <f>G261*(1-I$266)/(E$228/H$226)*100</f>
        <v>0.42899817850637517</v>
      </c>
      <c r="O261" s="69">
        <f t="shared" si="48"/>
        <v>6.4468683081248049E-3</v>
      </c>
      <c r="R261" s="276" t="s">
        <v>71</v>
      </c>
      <c r="S261" s="96">
        <v>2300</v>
      </c>
      <c r="T261" s="36">
        <f>S261/W226</f>
        <v>230</v>
      </c>
      <c r="U261" s="22">
        <f>U$237</f>
        <v>0.08</v>
      </c>
      <c r="V261" s="269">
        <f>T261*U261</f>
        <v>18.400000000000002</v>
      </c>
      <c r="W261" s="297"/>
      <c r="X261" s="36">
        <f>(S260*X260+S259*X259)/W226</f>
        <v>314</v>
      </c>
      <c r="Y261" s="37"/>
      <c r="Z261" s="39"/>
      <c r="AA261" s="39" t="s">
        <v>71</v>
      </c>
      <c r="AB261" s="39"/>
      <c r="AC261" s="529">
        <f>V261*(1-X$266)/(T$228/W$226)*100</f>
        <v>0.42899817850637517</v>
      </c>
      <c r="AD261" s="69">
        <f t="shared" si="49"/>
        <v>6.4468683081248049E-3</v>
      </c>
    </row>
    <row r="262" spans="2:30" x14ac:dyDescent="0.35">
      <c r="B262" s="416"/>
      <c r="C262" s="14" t="s">
        <v>73</v>
      </c>
      <c r="D262" s="36">
        <f>(D259+D260+D264)/2*I262</f>
        <v>4050</v>
      </c>
      <c r="E262" s="16">
        <f>(D259/2+D260/2)*I262/H226</f>
        <v>405</v>
      </c>
      <c r="F262" s="22">
        <f>F$237</f>
        <v>0.08</v>
      </c>
      <c r="G262" s="269">
        <f>E262*F262</f>
        <v>32.4</v>
      </c>
      <c r="H262" s="297"/>
      <c r="I262" s="22">
        <v>0.05</v>
      </c>
      <c r="J262" s="37"/>
      <c r="K262" s="39"/>
      <c r="L262" s="39" t="s">
        <v>73</v>
      </c>
      <c r="M262" s="39"/>
      <c r="N262" s="529">
        <f>G262*(1-I$266)/(E$228/H$226)*100</f>
        <v>0.75540983606557366</v>
      </c>
      <c r="O262" s="69">
        <f t="shared" si="48"/>
        <v>1.1352094194741504E-2</v>
      </c>
      <c r="R262" s="14" t="s">
        <v>73</v>
      </c>
      <c r="S262" s="36">
        <f>(S259+S260+S264)/2*X262</f>
        <v>4050</v>
      </c>
      <c r="T262" s="16">
        <f>(S259/2+S260/2)*X262/W226</f>
        <v>405</v>
      </c>
      <c r="U262" s="22">
        <f>U$237</f>
        <v>0.08</v>
      </c>
      <c r="V262" s="269">
        <f>T262*U262</f>
        <v>32.4</v>
      </c>
      <c r="W262" s="297"/>
      <c r="X262" s="22">
        <v>0.05</v>
      </c>
      <c r="Y262" s="37"/>
      <c r="Z262" s="39"/>
      <c r="AA262" s="39" t="s">
        <v>73</v>
      </c>
      <c r="AB262" s="39"/>
      <c r="AC262" s="529">
        <f>V262*(1-X$266)/(T$228/W$226)*100</f>
        <v>0.75540983606557366</v>
      </c>
      <c r="AD262" s="69">
        <f t="shared" si="49"/>
        <v>1.1352094194741504E-2</v>
      </c>
    </row>
    <row r="263" spans="2:30" x14ac:dyDescent="0.35">
      <c r="B263" s="416"/>
      <c r="C263" s="14" t="s">
        <v>74</v>
      </c>
      <c r="D263" s="36">
        <f>E263*H226</f>
        <v>3660</v>
      </c>
      <c r="E263" s="36">
        <f>G232*I263</f>
        <v>366</v>
      </c>
      <c r="F263" s="22">
        <f>F$237</f>
        <v>0.08</v>
      </c>
      <c r="G263" s="269">
        <f>E263*F263</f>
        <v>29.28</v>
      </c>
      <c r="H263" s="297"/>
      <c r="I263" s="22">
        <v>0.06</v>
      </c>
      <c r="J263" s="37"/>
      <c r="K263" s="39"/>
      <c r="L263" s="39" t="s">
        <v>74</v>
      </c>
      <c r="M263" s="39"/>
      <c r="N263" s="529">
        <f>G263*(1-I$266)/(E$228/H$226)*100</f>
        <v>0.68266666666666653</v>
      </c>
      <c r="O263" s="69">
        <f t="shared" si="48"/>
        <v>1.0258929568581212E-2</v>
      </c>
      <c r="R263" s="14" t="s">
        <v>74</v>
      </c>
      <c r="S263" s="36">
        <f>T263*W226</f>
        <v>3660</v>
      </c>
      <c r="T263" s="36">
        <f>V232*X263</f>
        <v>366</v>
      </c>
      <c r="U263" s="22">
        <f>U$237</f>
        <v>0.08</v>
      </c>
      <c r="V263" s="269">
        <f>T263*U263</f>
        <v>29.28</v>
      </c>
      <c r="W263" s="297"/>
      <c r="X263" s="22">
        <v>0.06</v>
      </c>
      <c r="Y263" s="37"/>
      <c r="Z263" s="39"/>
      <c r="AA263" s="39" t="s">
        <v>74</v>
      </c>
      <c r="AB263" s="39"/>
      <c r="AC263" s="529">
        <f>V263*(1-X$266)/(T$228/W$226)*100</f>
        <v>0.68266666666666653</v>
      </c>
      <c r="AD263" s="69">
        <f t="shared" si="49"/>
        <v>1.0258929568581212E-2</v>
      </c>
    </row>
    <row r="264" spans="2:30" ht="15" thickBot="1" x14ac:dyDescent="0.4">
      <c r="B264" s="416"/>
      <c r="C264" s="39"/>
      <c r="D264" s="39"/>
      <c r="E264" s="39"/>
      <c r="F264" s="39"/>
      <c r="G264" s="89"/>
      <c r="H264" s="298"/>
      <c r="I264" s="39"/>
      <c r="J264" s="37"/>
      <c r="K264" s="39"/>
      <c r="L264" s="39"/>
      <c r="M264" s="39"/>
      <c r="N264" s="529"/>
      <c r="O264" s="39"/>
      <c r="Q264" s="80"/>
      <c r="R264" s="39"/>
      <c r="S264" s="39"/>
      <c r="T264" s="39"/>
      <c r="U264" s="39"/>
      <c r="V264" s="89"/>
      <c r="W264" s="298"/>
      <c r="X264" s="39"/>
      <c r="Y264" s="37"/>
      <c r="Z264" s="39"/>
      <c r="AA264" s="39"/>
      <c r="AB264" s="39"/>
      <c r="AC264" s="382"/>
      <c r="AD264" s="39"/>
    </row>
    <row r="265" spans="2:30" ht="15" thickBot="1" x14ac:dyDescent="0.4">
      <c r="B265" s="416"/>
      <c r="C265" s="39"/>
      <c r="D265" s="39"/>
      <c r="E265" s="39"/>
      <c r="F265" s="56" t="s">
        <v>526</v>
      </c>
      <c r="G265" s="271">
        <f>SUM(G237:G263)</f>
        <v>2854.0989392960005</v>
      </c>
      <c r="H265" s="298"/>
      <c r="I265" s="39"/>
      <c r="J265" s="37"/>
      <c r="K265" s="61" t="s">
        <v>670</v>
      </c>
      <c r="L265" s="77"/>
      <c r="N265" s="383">
        <f>SUM(N238:N252,N254:N256,N259:N264)</f>
        <v>66.543654686682672</v>
      </c>
      <c r="O265" s="39"/>
      <c r="R265" s="39"/>
      <c r="S265" s="39"/>
      <c r="T265" s="39"/>
      <c r="U265" s="56" t="s">
        <v>526</v>
      </c>
      <c r="V265" s="271">
        <f>SUM(V237:V263)</f>
        <v>2854.0989392960005</v>
      </c>
      <c r="W265" s="298"/>
      <c r="X265" s="39"/>
      <c r="Y265" s="37"/>
      <c r="Z265" s="61" t="s">
        <v>670</v>
      </c>
      <c r="AA265" s="77"/>
      <c r="AC265" s="383">
        <f>SUM(AC238:AC252,AC254:AC256,AC259:AC264)</f>
        <v>66.543654686682672</v>
      </c>
      <c r="AD265" s="39"/>
    </row>
    <row r="266" spans="2:30" ht="15" thickBot="1" x14ac:dyDescent="0.4">
      <c r="B266" s="416"/>
      <c r="C266" s="39"/>
      <c r="D266" s="39"/>
      <c r="E266" s="39"/>
      <c r="F266" s="56" t="s">
        <v>511</v>
      </c>
      <c r="G266" s="392">
        <f>G228+G230</f>
        <v>4500</v>
      </c>
      <c r="H266" s="298"/>
      <c r="I266" s="381">
        <f>IF(G232=0,0,G266/G232)</f>
        <v>0.73770491803278693</v>
      </c>
      <c r="J266" s="37"/>
      <c r="K266" s="61"/>
      <c r="L266" s="384" t="s">
        <v>671</v>
      </c>
      <c r="M266" s="127"/>
      <c r="N266" s="404"/>
      <c r="O266" s="37"/>
      <c r="R266" s="39"/>
      <c r="S266" s="39"/>
      <c r="T266" s="39"/>
      <c r="U266" s="56" t="s">
        <v>511</v>
      </c>
      <c r="V266" s="392">
        <f>V228+V230</f>
        <v>4500</v>
      </c>
      <c r="W266" s="298"/>
      <c r="X266" s="381">
        <f>IF(V232=0,0,V266/V232)</f>
        <v>0.73770491803278693</v>
      </c>
      <c r="Y266" s="37"/>
      <c r="Z266" s="61"/>
      <c r="AA266" s="384" t="s">
        <v>671</v>
      </c>
      <c r="AB266" s="127"/>
      <c r="AC266" s="404"/>
      <c r="AD266" s="37"/>
    </row>
    <row r="267" spans="2:30" ht="15" thickBot="1" x14ac:dyDescent="0.4">
      <c r="B267" s="416"/>
      <c r="C267" s="39"/>
      <c r="D267" s="39"/>
      <c r="E267" s="39"/>
      <c r="F267" s="56" t="s">
        <v>525</v>
      </c>
      <c r="G267" s="271">
        <f>G265-G266</f>
        <v>-1645.9010607039995</v>
      </c>
      <c r="H267" s="379"/>
      <c r="I267" s="380"/>
      <c r="J267" s="37"/>
      <c r="K267" s="61"/>
      <c r="L267" s="384" t="s">
        <v>507</v>
      </c>
      <c r="M267" s="127"/>
      <c r="N267" s="404">
        <f>N265-N238+I237</f>
        <v>66.543654686682672</v>
      </c>
      <c r="O267" s="37"/>
      <c r="R267" s="39"/>
      <c r="S267" s="39"/>
      <c r="T267" s="39"/>
      <c r="U267" s="56" t="s">
        <v>525</v>
      </c>
      <c r="V267" s="271">
        <f>V265-V266</f>
        <v>-1645.9010607039995</v>
      </c>
      <c r="W267" s="379"/>
      <c r="X267" s="380"/>
      <c r="Y267" s="37"/>
      <c r="Z267" s="61"/>
      <c r="AA267" s="384" t="s">
        <v>507</v>
      </c>
      <c r="AB267" s="127"/>
      <c r="AC267" s="404">
        <f>AC265-AC238+X237</f>
        <v>66.543654686682672</v>
      </c>
      <c r="AD267" s="37"/>
    </row>
    <row r="268" spans="2:30" x14ac:dyDescent="0.35">
      <c r="B268" s="416"/>
      <c r="C268" s="39"/>
      <c r="D268" s="39"/>
      <c r="E268" s="39"/>
      <c r="F268" s="39"/>
      <c r="G268" s="39"/>
      <c r="H268" s="39"/>
      <c r="I268" s="39"/>
      <c r="J268" s="37"/>
      <c r="K268" s="61"/>
      <c r="L268" s="37" t="str">
        <f>CONCATENATE('Säilörehun tuotantokustannus'!F228," €/kg ka eli ",I237," snt/tuotettu liha-kg")</f>
        <v xml:space="preserve"> €/kg ka eli 0 snt/tuotettu liha-kg</v>
      </c>
      <c r="M268" s="37"/>
      <c r="N268" s="386"/>
      <c r="O268" s="37"/>
      <c r="R268" s="39"/>
      <c r="S268" s="39"/>
      <c r="T268" s="39"/>
      <c r="U268" s="39"/>
      <c r="V268" s="39"/>
      <c r="W268" s="39"/>
      <c r="X268" s="39"/>
      <c r="Y268" s="37"/>
      <c r="Z268" s="61"/>
      <c r="AA268" s="37" t="str">
        <f>CONCATENATE('Säilörehun tuotantokustannus'!U228," €/kg ka eli ",X237," snt/tuotettu liha-kg")</f>
        <v xml:space="preserve"> €/kg ka eli 0 snt/tuotettu liha-kg</v>
      </c>
      <c r="AB268" s="37"/>
      <c r="AC268" s="386"/>
      <c r="AD268" s="37"/>
    </row>
    <row r="269" spans="2:30" x14ac:dyDescent="0.35">
      <c r="B269" s="416"/>
      <c r="C269" s="39"/>
      <c r="D269" s="39"/>
      <c r="E269" s="39"/>
      <c r="F269" s="39"/>
      <c r="G269" s="39"/>
      <c r="H269" s="39"/>
      <c r="I269" s="39"/>
      <c r="J269" s="37"/>
      <c r="K269" s="61"/>
      <c r="L269" s="77"/>
      <c r="M269" s="77"/>
      <c r="N269" s="62"/>
      <c r="O269" s="39"/>
      <c r="R269" s="39"/>
      <c r="S269" s="39"/>
      <c r="T269" s="39"/>
      <c r="U269" s="39"/>
      <c r="V269" s="39"/>
      <c r="W269" s="39"/>
      <c r="X269" s="39"/>
      <c r="Y269" s="37"/>
      <c r="Z269" s="61"/>
      <c r="AA269" s="77"/>
      <c r="AB269" s="77"/>
      <c r="AC269" s="62"/>
      <c r="AD269" s="39"/>
    </row>
    <row r="270" spans="2:30" x14ac:dyDescent="0.35">
      <c r="C270" s="49"/>
      <c r="D270" s="49"/>
      <c r="E270" s="49"/>
      <c r="F270" s="49"/>
      <c r="G270" s="49"/>
      <c r="H270" s="49"/>
      <c r="I270" s="49"/>
      <c r="K270" s="49"/>
      <c r="L270" s="49"/>
      <c r="M270" s="49"/>
      <c r="N270" s="49"/>
      <c r="O270" s="49"/>
      <c r="R270" s="49"/>
      <c r="S270" s="49"/>
      <c r="T270" s="49"/>
      <c r="U270" s="49"/>
      <c r="V270" s="49"/>
      <c r="W270" s="49"/>
      <c r="X270" s="49"/>
      <c r="Z270" s="49"/>
      <c r="AA270" s="49"/>
      <c r="AB270" s="49"/>
      <c r="AC270" s="49"/>
      <c r="AD270" s="49"/>
    </row>
    <row r="271" spans="2:30" x14ac:dyDescent="0.35">
      <c r="C271" s="49"/>
      <c r="D271" s="49"/>
      <c r="E271" s="49"/>
      <c r="F271" s="49"/>
      <c r="G271" s="49"/>
      <c r="H271" s="49"/>
      <c r="I271" s="49"/>
      <c r="K271" s="49"/>
      <c r="L271" s="49"/>
      <c r="M271" s="49"/>
      <c r="N271" s="49"/>
      <c r="O271" s="49"/>
      <c r="R271" s="49"/>
      <c r="S271" s="49"/>
      <c r="T271" s="49"/>
      <c r="U271" s="49"/>
      <c r="V271" s="49"/>
      <c r="W271" s="49"/>
      <c r="X271" s="49"/>
      <c r="Z271" s="49"/>
      <c r="AA271" s="49"/>
      <c r="AB271" s="49"/>
      <c r="AC271" s="49"/>
      <c r="AD271" s="49"/>
    </row>
    <row r="272" spans="2:30" x14ac:dyDescent="0.35">
      <c r="C272" s="49"/>
      <c r="D272" s="49"/>
      <c r="E272" s="49"/>
      <c r="F272" s="49"/>
      <c r="G272" s="49"/>
      <c r="H272" s="49"/>
      <c r="I272" s="49"/>
      <c r="K272" s="49"/>
      <c r="L272" s="49"/>
      <c r="M272" s="49"/>
      <c r="N272" s="49"/>
      <c r="O272" s="49"/>
      <c r="R272" s="49"/>
      <c r="S272" s="49"/>
      <c r="T272" s="49"/>
      <c r="U272" s="49"/>
      <c r="V272" s="49"/>
      <c r="W272" s="49"/>
      <c r="X272" s="49"/>
      <c r="Z272" s="49"/>
      <c r="AA272" s="49"/>
      <c r="AB272" s="49"/>
      <c r="AC272" s="49"/>
      <c r="AD272" s="49"/>
    </row>
    <row r="273" spans="3:30" x14ac:dyDescent="0.35">
      <c r="C273" s="49"/>
      <c r="D273" s="49"/>
      <c r="E273" s="49"/>
      <c r="F273" s="49"/>
      <c r="G273" s="49"/>
      <c r="H273" s="49"/>
      <c r="I273" s="49"/>
      <c r="K273" s="49"/>
      <c r="L273" s="49"/>
      <c r="M273" s="49"/>
      <c r="N273" s="49"/>
      <c r="O273" s="49"/>
      <c r="R273" s="49"/>
      <c r="S273" s="49"/>
      <c r="T273" s="49"/>
      <c r="U273" s="49"/>
      <c r="V273" s="49"/>
      <c r="W273" s="49"/>
      <c r="X273" s="49"/>
      <c r="Z273" s="49"/>
      <c r="AA273" s="49"/>
      <c r="AB273" s="49"/>
      <c r="AC273" s="49"/>
      <c r="AD273" s="49"/>
    </row>
    <row r="274" spans="3:30" x14ac:dyDescent="0.35">
      <c r="C274" s="49"/>
      <c r="D274" s="49"/>
      <c r="E274" s="49"/>
      <c r="F274" s="49"/>
      <c r="G274" s="49"/>
      <c r="H274" s="49"/>
      <c r="I274" s="49"/>
      <c r="K274" s="49"/>
      <c r="L274" s="49"/>
      <c r="M274" s="49"/>
      <c r="N274" s="49"/>
      <c r="O274" s="49"/>
      <c r="R274" s="49"/>
      <c r="S274" s="49"/>
      <c r="T274" s="49"/>
      <c r="U274" s="49"/>
      <c r="V274" s="49"/>
      <c r="W274" s="49"/>
      <c r="X274" s="49"/>
      <c r="Z274" s="49"/>
      <c r="AA274" s="49"/>
      <c r="AB274" s="49"/>
      <c r="AC274" s="49"/>
      <c r="AD274" s="49"/>
    </row>
    <row r="275" spans="3:30" x14ac:dyDescent="0.35">
      <c r="C275" s="49"/>
      <c r="D275" s="49"/>
      <c r="E275" s="49"/>
      <c r="F275" s="49"/>
      <c r="G275" s="49"/>
      <c r="H275" s="49"/>
      <c r="I275" s="49"/>
      <c r="K275" s="49"/>
      <c r="L275" s="49"/>
      <c r="M275" s="49"/>
      <c r="N275" s="49"/>
      <c r="O275" s="49"/>
      <c r="R275" s="49"/>
      <c r="S275" s="49"/>
      <c r="T275" s="49"/>
      <c r="U275" s="49"/>
      <c r="V275" s="49"/>
      <c r="W275" s="49"/>
      <c r="X275" s="49"/>
      <c r="Z275" s="49"/>
      <c r="AA275" s="49"/>
      <c r="AB275" s="49"/>
      <c r="AC275" s="49"/>
      <c r="AD275" s="49"/>
    </row>
    <row r="276" spans="3:30" x14ac:dyDescent="0.35">
      <c r="C276" s="49"/>
      <c r="D276" s="49"/>
      <c r="E276" s="49"/>
      <c r="F276" s="49"/>
      <c r="G276" s="49"/>
      <c r="H276" s="49"/>
      <c r="I276" s="49"/>
      <c r="K276" s="49"/>
      <c r="L276" s="49"/>
      <c r="M276" s="49"/>
      <c r="N276" s="49"/>
      <c r="O276" s="49"/>
      <c r="R276" s="49"/>
      <c r="S276" s="49"/>
      <c r="T276" s="49"/>
      <c r="U276" s="49"/>
      <c r="V276" s="49"/>
      <c r="W276" s="49"/>
      <c r="X276" s="49"/>
      <c r="Z276" s="49"/>
      <c r="AA276" s="49"/>
      <c r="AB276" s="49"/>
      <c r="AC276" s="49"/>
      <c r="AD276" s="49"/>
    </row>
    <row r="277" spans="3:30" x14ac:dyDescent="0.35">
      <c r="C277" s="49"/>
      <c r="D277" s="49"/>
      <c r="E277" s="49"/>
      <c r="F277" s="49"/>
      <c r="G277" s="49"/>
      <c r="H277" s="49"/>
      <c r="I277" s="49"/>
      <c r="K277" s="49"/>
      <c r="L277" s="49"/>
      <c r="M277" s="49"/>
      <c r="N277" s="49"/>
      <c r="O277" s="49"/>
      <c r="R277" s="49"/>
      <c r="S277" s="49"/>
      <c r="T277" s="49"/>
      <c r="U277" s="49"/>
      <c r="V277" s="49"/>
      <c r="W277" s="49"/>
      <c r="X277" s="49"/>
      <c r="Z277" s="49"/>
      <c r="AA277" s="49"/>
      <c r="AB277" s="49"/>
      <c r="AC277" s="49"/>
      <c r="AD277" s="49"/>
    </row>
    <row r="278" spans="3:30" x14ac:dyDescent="0.35">
      <c r="C278" s="49"/>
      <c r="D278" s="49"/>
      <c r="E278" s="49"/>
      <c r="F278" s="49"/>
      <c r="G278" s="49"/>
      <c r="H278" s="49"/>
      <c r="I278" s="49"/>
      <c r="K278" s="49"/>
      <c r="L278" s="49"/>
      <c r="M278" s="49"/>
      <c r="N278" s="49"/>
      <c r="O278" s="49"/>
      <c r="R278" s="49"/>
      <c r="S278" s="49"/>
      <c r="T278" s="49"/>
      <c r="U278" s="49"/>
      <c r="V278" s="49"/>
      <c r="W278" s="49"/>
      <c r="X278" s="49"/>
      <c r="Z278" s="49"/>
      <c r="AA278" s="49"/>
      <c r="AB278" s="49"/>
      <c r="AC278" s="49"/>
      <c r="AD278" s="49"/>
    </row>
    <row r="279" spans="3:30" x14ac:dyDescent="0.35">
      <c r="C279" s="49"/>
      <c r="D279" s="49"/>
      <c r="E279" s="49"/>
      <c r="F279" s="49"/>
      <c r="G279" s="49"/>
      <c r="H279" s="49"/>
      <c r="I279" s="49"/>
      <c r="K279" s="49"/>
      <c r="L279" s="49"/>
      <c r="M279" s="49"/>
      <c r="N279" s="49"/>
      <c r="O279" s="49"/>
      <c r="R279" s="49"/>
      <c r="S279" s="49"/>
      <c r="T279" s="49"/>
      <c r="U279" s="49"/>
      <c r="V279" s="49"/>
      <c r="W279" s="49"/>
      <c r="X279" s="49"/>
      <c r="Z279" s="49"/>
      <c r="AA279" s="49"/>
      <c r="AB279" s="49"/>
      <c r="AC279" s="49"/>
      <c r="AD279" s="49"/>
    </row>
    <row r="280" spans="3:30" x14ac:dyDescent="0.35">
      <c r="C280" s="49"/>
      <c r="D280" s="49"/>
      <c r="E280" s="49"/>
      <c r="F280" s="49"/>
      <c r="G280" s="49"/>
      <c r="H280" s="49"/>
      <c r="I280" s="49"/>
      <c r="K280" s="49"/>
      <c r="L280" s="49"/>
      <c r="M280" s="49"/>
      <c r="N280" s="49"/>
      <c r="O280" s="49"/>
      <c r="R280" s="49"/>
      <c r="S280" s="49"/>
      <c r="T280" s="49"/>
      <c r="U280" s="49"/>
      <c r="V280" s="49"/>
      <c r="W280" s="49"/>
      <c r="X280" s="49"/>
      <c r="Z280" s="49"/>
      <c r="AA280" s="49"/>
      <c r="AB280" s="49"/>
      <c r="AC280" s="49"/>
      <c r="AD280" s="49"/>
    </row>
    <row r="281" spans="3:30" x14ac:dyDescent="0.35">
      <c r="C281" s="49"/>
      <c r="D281" s="49"/>
      <c r="E281" s="49"/>
      <c r="F281" s="49"/>
      <c r="G281" s="49"/>
      <c r="H281" s="49"/>
      <c r="I281" s="49"/>
      <c r="K281" s="49"/>
      <c r="L281" s="49"/>
      <c r="M281" s="49"/>
      <c r="N281" s="49"/>
      <c r="O281" s="49"/>
      <c r="R281" s="49"/>
      <c r="S281" s="49"/>
      <c r="T281" s="49"/>
      <c r="U281" s="49"/>
      <c r="V281" s="49"/>
      <c r="W281" s="49"/>
      <c r="X281" s="49"/>
      <c r="Z281" s="49"/>
      <c r="AA281" s="49"/>
      <c r="AB281" s="49"/>
      <c r="AC281" s="49"/>
      <c r="AD281" s="49"/>
    </row>
    <row r="282" spans="3:30" x14ac:dyDescent="0.35">
      <c r="C282" s="49"/>
      <c r="D282" s="49"/>
      <c r="E282" s="49"/>
      <c r="F282" s="49"/>
      <c r="G282" s="49"/>
      <c r="H282" s="49"/>
      <c r="I282" s="49"/>
      <c r="K282" s="49"/>
      <c r="L282" s="49"/>
      <c r="M282" s="49"/>
      <c r="N282" s="49"/>
      <c r="O282" s="49"/>
      <c r="R282" s="49"/>
      <c r="S282" s="49"/>
      <c r="T282" s="49"/>
      <c r="U282" s="49"/>
      <c r="V282" s="49"/>
      <c r="W282" s="49"/>
      <c r="X282" s="49"/>
      <c r="Z282" s="49"/>
      <c r="AA282" s="49"/>
      <c r="AB282" s="49"/>
      <c r="AC282" s="49"/>
      <c r="AD282" s="49"/>
    </row>
    <row r="283" spans="3:30" x14ac:dyDescent="0.35">
      <c r="C283" s="49"/>
      <c r="D283" s="49"/>
      <c r="E283" s="49"/>
      <c r="F283" s="49"/>
      <c r="G283" s="49"/>
      <c r="H283" s="49"/>
      <c r="I283" s="49"/>
      <c r="K283" s="49"/>
      <c r="L283" s="49"/>
      <c r="M283" s="49"/>
      <c r="N283" s="49"/>
      <c r="O283" s="49"/>
      <c r="R283" s="49"/>
      <c r="S283" s="49"/>
      <c r="T283" s="49"/>
      <c r="U283" s="49"/>
      <c r="V283" s="49"/>
      <c r="W283" s="49"/>
      <c r="X283" s="49"/>
      <c r="Z283" s="49"/>
      <c r="AA283" s="49"/>
      <c r="AB283" s="49"/>
      <c r="AC283" s="49"/>
      <c r="AD283" s="49"/>
    </row>
    <row r="284" spans="3:30" x14ac:dyDescent="0.35">
      <c r="C284" s="49"/>
      <c r="D284" s="49"/>
      <c r="E284" s="49"/>
      <c r="F284" s="49"/>
      <c r="G284" s="49"/>
      <c r="H284" s="49"/>
      <c r="I284" s="49"/>
      <c r="K284" s="49"/>
      <c r="L284" s="49"/>
      <c r="M284" s="49"/>
      <c r="N284" s="49"/>
      <c r="O284" s="49"/>
      <c r="R284" s="49"/>
      <c r="S284" s="49"/>
      <c r="T284" s="49"/>
      <c r="U284" s="49"/>
      <c r="V284" s="49"/>
      <c r="W284" s="49"/>
      <c r="X284" s="49"/>
      <c r="Z284" s="49"/>
      <c r="AA284" s="49"/>
      <c r="AB284" s="49"/>
      <c r="AC284" s="49"/>
      <c r="AD284" s="49"/>
    </row>
    <row r="285" spans="3:30" x14ac:dyDescent="0.35">
      <c r="C285" s="49"/>
      <c r="D285" s="49"/>
      <c r="E285" s="49"/>
      <c r="F285" s="49"/>
      <c r="G285" s="49"/>
      <c r="H285" s="49"/>
      <c r="I285" s="49"/>
      <c r="K285" s="49"/>
      <c r="L285" s="49"/>
      <c r="M285" s="49"/>
      <c r="N285" s="49"/>
      <c r="O285" s="49"/>
      <c r="R285" s="49"/>
      <c r="S285" s="49"/>
      <c r="T285" s="49"/>
      <c r="U285" s="49"/>
      <c r="V285" s="49"/>
      <c r="W285" s="49"/>
      <c r="X285" s="49"/>
      <c r="Z285" s="49"/>
      <c r="AA285" s="49"/>
      <c r="AB285" s="49"/>
      <c r="AC285" s="49"/>
      <c r="AD285" s="49"/>
    </row>
    <row r="286" spans="3:30" x14ac:dyDescent="0.35">
      <c r="C286" s="49"/>
      <c r="D286" s="49"/>
      <c r="E286" s="49"/>
      <c r="F286" s="49"/>
      <c r="G286" s="49"/>
      <c r="H286" s="49"/>
      <c r="I286" s="49"/>
      <c r="K286" s="49"/>
      <c r="L286" s="49"/>
      <c r="M286" s="49"/>
      <c r="N286" s="49"/>
      <c r="O286" s="49"/>
      <c r="R286" s="49"/>
      <c r="S286" s="49"/>
      <c r="T286" s="49"/>
      <c r="U286" s="49"/>
      <c r="V286" s="49"/>
      <c r="W286" s="49"/>
      <c r="X286" s="49"/>
      <c r="Z286" s="49"/>
      <c r="AA286" s="49"/>
      <c r="AB286" s="49"/>
      <c r="AC286" s="49"/>
      <c r="AD286" s="49"/>
    </row>
    <row r="287" spans="3:30" x14ac:dyDescent="0.35">
      <c r="C287" s="49"/>
      <c r="D287" s="49"/>
      <c r="E287" s="49"/>
      <c r="F287" s="49"/>
      <c r="G287" s="49"/>
      <c r="H287" s="49"/>
      <c r="I287" s="49"/>
      <c r="K287" s="49"/>
      <c r="L287" s="49"/>
      <c r="M287" s="49"/>
      <c r="N287" s="49"/>
      <c r="O287" s="49"/>
      <c r="R287" s="49"/>
      <c r="S287" s="49"/>
      <c r="T287" s="49"/>
      <c r="U287" s="49"/>
      <c r="V287" s="49"/>
      <c r="W287" s="49"/>
      <c r="X287" s="49"/>
      <c r="Z287" s="49"/>
      <c r="AA287" s="49"/>
      <c r="AB287" s="49"/>
      <c r="AC287" s="49"/>
      <c r="AD287" s="49"/>
    </row>
    <row r="288" spans="3:30" x14ac:dyDescent="0.35">
      <c r="C288" s="49"/>
      <c r="D288" s="49"/>
      <c r="E288" s="49"/>
      <c r="F288" s="49"/>
      <c r="G288" s="49"/>
      <c r="H288" s="49"/>
      <c r="I288" s="49"/>
      <c r="K288" s="49"/>
      <c r="L288" s="49"/>
      <c r="M288" s="49"/>
      <c r="N288" s="49"/>
      <c r="O288" s="49"/>
      <c r="R288" s="49"/>
      <c r="S288" s="49"/>
      <c r="T288" s="49"/>
      <c r="U288" s="49"/>
      <c r="V288" s="49"/>
      <c r="W288" s="49"/>
      <c r="X288" s="49"/>
      <c r="Z288" s="49"/>
      <c r="AA288" s="49"/>
      <c r="AB288" s="49"/>
      <c r="AC288" s="49"/>
      <c r="AD288" s="49"/>
    </row>
    <row r="289" spans="3:30" x14ac:dyDescent="0.35">
      <c r="C289" s="49"/>
      <c r="D289" s="49"/>
      <c r="E289" s="49"/>
      <c r="F289" s="49"/>
      <c r="G289" s="49"/>
      <c r="H289" s="49"/>
      <c r="I289" s="49"/>
      <c r="K289" s="49"/>
      <c r="L289" s="49"/>
      <c r="M289" s="49"/>
      <c r="N289" s="49"/>
      <c r="O289" s="49"/>
      <c r="R289" s="49"/>
      <c r="S289" s="49"/>
      <c r="T289" s="49"/>
      <c r="U289" s="49"/>
      <c r="V289" s="49"/>
      <c r="W289" s="49"/>
      <c r="X289" s="49"/>
      <c r="Z289" s="49"/>
      <c r="AA289" s="49"/>
      <c r="AB289" s="49"/>
      <c r="AC289" s="49"/>
      <c r="AD289" s="49"/>
    </row>
    <row r="290" spans="3:30" x14ac:dyDescent="0.35">
      <c r="C290" s="49"/>
      <c r="D290" s="49"/>
      <c r="E290" s="49"/>
      <c r="F290" s="49"/>
      <c r="G290" s="49"/>
      <c r="H290" s="49"/>
      <c r="I290" s="49"/>
      <c r="K290" s="49"/>
      <c r="L290" s="49"/>
      <c r="M290" s="49"/>
      <c r="N290" s="49"/>
      <c r="O290" s="49"/>
      <c r="R290" s="49"/>
      <c r="S290" s="49"/>
      <c r="T290" s="49"/>
      <c r="U290" s="49"/>
      <c r="V290" s="49"/>
      <c r="W290" s="49"/>
      <c r="X290" s="49"/>
      <c r="Z290" s="49"/>
      <c r="AA290" s="49"/>
      <c r="AB290" s="49"/>
      <c r="AC290" s="49"/>
      <c r="AD290" s="49"/>
    </row>
    <row r="291" spans="3:30" x14ac:dyDescent="0.35">
      <c r="C291" s="49"/>
      <c r="D291" s="49"/>
      <c r="E291" s="49"/>
      <c r="F291" s="49"/>
      <c r="G291" s="49"/>
      <c r="H291" s="49"/>
      <c r="I291" s="49"/>
      <c r="K291" s="49"/>
      <c r="L291" s="49"/>
      <c r="M291" s="49"/>
      <c r="N291" s="49"/>
      <c r="O291" s="49"/>
      <c r="R291" s="49"/>
      <c r="S291" s="49"/>
      <c r="T291" s="49"/>
      <c r="U291" s="49"/>
      <c r="V291" s="49"/>
      <c r="W291" s="49"/>
      <c r="X291" s="49"/>
      <c r="Z291" s="49"/>
      <c r="AA291" s="49"/>
      <c r="AB291" s="49"/>
      <c r="AC291" s="49"/>
      <c r="AD291" s="49"/>
    </row>
    <row r="292" spans="3:30" x14ac:dyDescent="0.35">
      <c r="C292" s="49"/>
      <c r="D292" s="49"/>
      <c r="E292" s="49"/>
      <c r="F292" s="49"/>
      <c r="G292" s="49"/>
      <c r="H292" s="49"/>
      <c r="I292" s="49"/>
      <c r="K292" s="49"/>
      <c r="L292" s="49"/>
      <c r="M292" s="49"/>
      <c r="N292" s="49"/>
      <c r="O292" s="49"/>
      <c r="R292" s="49"/>
      <c r="S292" s="49"/>
      <c r="T292" s="49"/>
      <c r="U292" s="49"/>
      <c r="V292" s="49"/>
      <c r="W292" s="49"/>
      <c r="X292" s="49"/>
      <c r="Z292" s="49"/>
      <c r="AA292" s="49"/>
      <c r="AB292" s="49"/>
      <c r="AC292" s="49"/>
      <c r="AD292" s="49"/>
    </row>
    <row r="293" spans="3:30" x14ac:dyDescent="0.35">
      <c r="C293" s="49"/>
      <c r="D293" s="49"/>
      <c r="E293" s="49"/>
      <c r="F293" s="49"/>
      <c r="G293" s="49"/>
      <c r="H293" s="49"/>
      <c r="I293" s="49"/>
      <c r="K293" s="49"/>
      <c r="L293" s="49"/>
      <c r="M293" s="49"/>
      <c r="N293" s="49"/>
      <c r="O293" s="49"/>
      <c r="R293" s="49"/>
      <c r="S293" s="49"/>
      <c r="T293" s="49"/>
      <c r="U293" s="49"/>
      <c r="V293" s="49"/>
      <c r="W293" s="49"/>
      <c r="X293" s="49"/>
      <c r="Z293" s="49"/>
      <c r="AA293" s="49"/>
      <c r="AB293" s="49"/>
      <c r="AC293" s="49"/>
      <c r="AD293" s="49"/>
    </row>
    <row r="294" spans="3:30" x14ac:dyDescent="0.35">
      <c r="C294" s="49"/>
      <c r="D294" s="49"/>
      <c r="E294" s="49"/>
      <c r="F294" s="49"/>
      <c r="G294" s="49"/>
      <c r="H294" s="49"/>
      <c r="I294" s="49"/>
      <c r="K294" s="49"/>
      <c r="L294" s="49"/>
      <c r="M294" s="49"/>
      <c r="N294" s="49"/>
      <c r="O294" s="49"/>
      <c r="R294" s="49"/>
      <c r="S294" s="49"/>
      <c r="T294" s="49"/>
      <c r="U294" s="49"/>
      <c r="V294" s="49"/>
      <c r="W294" s="49"/>
      <c r="X294" s="49"/>
      <c r="Z294" s="49"/>
      <c r="AA294" s="49"/>
      <c r="AB294" s="49"/>
      <c r="AC294" s="49"/>
      <c r="AD294" s="49"/>
    </row>
    <row r="295" spans="3:30" x14ac:dyDescent="0.35">
      <c r="C295" s="49"/>
      <c r="D295" s="49"/>
      <c r="E295" s="49"/>
      <c r="F295" s="49"/>
      <c r="G295" s="49"/>
      <c r="H295" s="49"/>
      <c r="I295" s="49"/>
      <c r="K295" s="49"/>
      <c r="L295" s="49"/>
      <c r="M295" s="49"/>
      <c r="N295" s="49"/>
      <c r="O295" s="49"/>
      <c r="R295" s="49"/>
      <c r="S295" s="49"/>
      <c r="T295" s="49"/>
      <c r="U295" s="49"/>
      <c r="V295" s="49"/>
      <c r="W295" s="49"/>
      <c r="X295" s="49"/>
      <c r="Z295" s="49"/>
      <c r="AA295" s="49"/>
      <c r="AB295" s="49"/>
      <c r="AC295" s="49"/>
      <c r="AD295" s="49"/>
    </row>
    <row r="296" spans="3:30" x14ac:dyDescent="0.35">
      <c r="C296" s="49"/>
      <c r="D296" s="49"/>
      <c r="E296" s="49"/>
      <c r="F296" s="49"/>
      <c r="G296" s="49"/>
      <c r="H296" s="49"/>
      <c r="I296" s="49"/>
      <c r="K296" s="49"/>
      <c r="L296" s="49"/>
      <c r="M296" s="49"/>
      <c r="N296" s="49"/>
      <c r="O296" s="49"/>
      <c r="R296" s="49"/>
      <c r="S296" s="49"/>
      <c r="T296" s="49"/>
      <c r="U296" s="49"/>
      <c r="V296" s="49"/>
      <c r="W296" s="49"/>
      <c r="X296" s="49"/>
      <c r="Z296" s="49"/>
      <c r="AA296" s="49"/>
      <c r="AB296" s="49"/>
      <c r="AC296" s="49"/>
      <c r="AD296" s="49"/>
    </row>
    <row r="297" spans="3:30" x14ac:dyDescent="0.35">
      <c r="C297" s="49"/>
      <c r="D297" s="49"/>
      <c r="E297" s="49"/>
      <c r="F297" s="49"/>
      <c r="G297" s="49"/>
      <c r="H297" s="49"/>
      <c r="I297" s="49"/>
      <c r="K297" s="49"/>
      <c r="L297" s="49"/>
      <c r="M297" s="49"/>
      <c r="N297" s="49"/>
      <c r="O297" s="49"/>
      <c r="R297" s="49"/>
      <c r="S297" s="49"/>
      <c r="T297" s="49"/>
      <c r="U297" s="49"/>
      <c r="V297" s="49"/>
      <c r="W297" s="49"/>
      <c r="X297" s="49"/>
      <c r="Z297" s="49"/>
      <c r="AA297" s="49"/>
      <c r="AB297" s="49"/>
      <c r="AC297" s="49"/>
      <c r="AD297" s="49"/>
    </row>
    <row r="298" spans="3:30" x14ac:dyDescent="0.35">
      <c r="C298" s="49"/>
      <c r="D298" s="49"/>
      <c r="E298" s="49"/>
      <c r="F298" s="49"/>
      <c r="G298" s="49"/>
      <c r="H298" s="49"/>
      <c r="I298" s="49"/>
      <c r="K298" s="49"/>
      <c r="L298" s="49"/>
      <c r="M298" s="49"/>
      <c r="N298" s="49"/>
      <c r="O298" s="49"/>
      <c r="R298" s="49"/>
      <c r="S298" s="49"/>
      <c r="T298" s="49"/>
      <c r="U298" s="49"/>
      <c r="V298" s="49"/>
      <c r="W298" s="49"/>
      <c r="X298" s="49"/>
      <c r="Z298" s="49"/>
      <c r="AA298" s="49"/>
      <c r="AB298" s="49"/>
      <c r="AC298" s="49"/>
      <c r="AD298" s="49"/>
    </row>
    <row r="299" spans="3:30" x14ac:dyDescent="0.35">
      <c r="C299" s="49"/>
      <c r="D299" s="49"/>
      <c r="E299" s="49"/>
      <c r="F299" s="49"/>
      <c r="G299" s="49"/>
      <c r="H299" s="49"/>
      <c r="I299" s="49"/>
      <c r="K299" s="49"/>
      <c r="L299" s="49"/>
      <c r="M299" s="49"/>
      <c r="N299" s="49"/>
      <c r="O299" s="49"/>
      <c r="R299" s="49"/>
      <c r="S299" s="49"/>
      <c r="T299" s="49"/>
      <c r="U299" s="49"/>
      <c r="V299" s="49"/>
      <c r="W299" s="49"/>
      <c r="X299" s="49"/>
      <c r="Z299" s="49"/>
      <c r="AA299" s="49"/>
      <c r="AB299" s="49"/>
      <c r="AC299" s="49"/>
      <c r="AD299" s="49"/>
    </row>
    <row r="300" spans="3:30" x14ac:dyDescent="0.35">
      <c r="C300" s="49"/>
      <c r="D300" s="49"/>
      <c r="E300" s="49"/>
      <c r="F300" s="49"/>
      <c r="G300" s="49"/>
      <c r="H300" s="49"/>
      <c r="I300" s="49"/>
      <c r="K300" s="49"/>
      <c r="L300" s="49"/>
      <c r="M300" s="49"/>
      <c r="N300" s="49"/>
      <c r="O300" s="49"/>
      <c r="R300" s="49"/>
      <c r="S300" s="49"/>
      <c r="T300" s="49"/>
      <c r="U300" s="49"/>
      <c r="V300" s="49"/>
      <c r="W300" s="49"/>
      <c r="X300" s="49"/>
      <c r="Z300" s="49"/>
      <c r="AA300" s="49"/>
      <c r="AB300" s="49"/>
      <c r="AC300" s="49"/>
      <c r="AD300" s="49"/>
    </row>
    <row r="301" spans="3:30" x14ac:dyDescent="0.35">
      <c r="C301" s="49"/>
      <c r="D301" s="49"/>
      <c r="E301" s="49"/>
      <c r="F301" s="49"/>
      <c r="G301" s="49"/>
      <c r="H301" s="49"/>
      <c r="I301" s="49"/>
      <c r="K301" s="49"/>
      <c r="L301" s="49"/>
      <c r="M301" s="49"/>
      <c r="N301" s="49"/>
      <c r="O301" s="49"/>
      <c r="R301" s="49"/>
      <c r="S301" s="49"/>
      <c r="T301" s="49"/>
      <c r="U301" s="49"/>
      <c r="V301" s="49"/>
      <c r="W301" s="49"/>
      <c r="X301" s="49"/>
      <c r="Z301" s="49"/>
      <c r="AA301" s="49"/>
      <c r="AB301" s="49"/>
      <c r="AC301" s="49"/>
      <c r="AD301" s="49"/>
    </row>
    <row r="302" spans="3:30" x14ac:dyDescent="0.35">
      <c r="C302" s="49"/>
      <c r="D302" s="49"/>
      <c r="E302" s="49"/>
      <c r="F302" s="49"/>
      <c r="G302" s="49"/>
      <c r="H302" s="49"/>
      <c r="I302" s="49"/>
      <c r="K302" s="49"/>
      <c r="L302" s="49"/>
      <c r="M302" s="49"/>
      <c r="N302" s="49"/>
      <c r="O302" s="49"/>
      <c r="R302" s="49"/>
      <c r="S302" s="49"/>
      <c r="T302" s="49"/>
      <c r="U302" s="49"/>
      <c r="V302" s="49"/>
      <c r="W302" s="49"/>
      <c r="X302" s="49"/>
      <c r="Z302" s="49"/>
      <c r="AA302" s="49"/>
      <c r="AB302" s="49"/>
      <c r="AC302" s="49"/>
      <c r="AD302" s="49"/>
    </row>
    <row r="303" spans="3:30" x14ac:dyDescent="0.35">
      <c r="C303" s="49"/>
      <c r="D303" s="49"/>
      <c r="E303" s="49"/>
      <c r="F303" s="49"/>
      <c r="G303" s="49"/>
      <c r="H303" s="49"/>
      <c r="I303" s="49"/>
      <c r="K303" s="49"/>
      <c r="L303" s="49"/>
      <c r="M303" s="49"/>
      <c r="N303" s="49"/>
      <c r="O303" s="49"/>
      <c r="R303" s="49"/>
      <c r="S303" s="49"/>
      <c r="T303" s="49"/>
      <c r="U303" s="49"/>
      <c r="V303" s="49"/>
      <c r="W303" s="49"/>
      <c r="X303" s="49"/>
      <c r="Z303" s="49"/>
      <c r="AA303" s="49"/>
      <c r="AB303" s="49"/>
      <c r="AC303" s="49"/>
      <c r="AD303" s="49"/>
    </row>
    <row r="304" spans="3:30" x14ac:dyDescent="0.35">
      <c r="C304" s="49"/>
      <c r="D304" s="49"/>
      <c r="E304" s="49"/>
      <c r="F304" s="49"/>
      <c r="G304" s="49"/>
      <c r="H304" s="49"/>
      <c r="I304" s="49"/>
      <c r="K304" s="49"/>
      <c r="L304" s="49"/>
      <c r="M304" s="49"/>
      <c r="N304" s="49"/>
      <c r="O304" s="49"/>
      <c r="R304" s="49"/>
      <c r="S304" s="49"/>
      <c r="T304" s="49"/>
      <c r="U304" s="49"/>
      <c r="V304" s="49"/>
      <c r="W304" s="49"/>
      <c r="X304" s="49"/>
      <c r="Z304" s="49"/>
      <c r="AA304" s="49"/>
      <c r="AB304" s="49"/>
      <c r="AC304" s="49"/>
      <c r="AD304" s="49"/>
    </row>
    <row r="305" spans="3:30" x14ac:dyDescent="0.35">
      <c r="C305" s="49"/>
      <c r="D305" s="49"/>
      <c r="E305" s="49"/>
      <c r="F305" s="49"/>
      <c r="G305" s="49"/>
      <c r="H305" s="49"/>
      <c r="I305" s="49"/>
      <c r="K305" s="49"/>
      <c r="L305" s="49"/>
      <c r="M305" s="49"/>
      <c r="N305" s="49"/>
      <c r="O305" s="49"/>
      <c r="R305" s="49"/>
      <c r="S305" s="49"/>
      <c r="T305" s="49"/>
      <c r="U305" s="49"/>
      <c r="V305" s="49"/>
      <c r="W305" s="49"/>
      <c r="X305" s="49"/>
      <c r="Z305" s="49"/>
      <c r="AA305" s="49"/>
      <c r="AB305" s="49"/>
      <c r="AC305" s="49"/>
      <c r="AD305" s="49"/>
    </row>
    <row r="306" spans="3:30" x14ac:dyDescent="0.35">
      <c r="C306" s="49"/>
      <c r="D306" s="49"/>
      <c r="E306" s="49"/>
      <c r="F306" s="49"/>
      <c r="G306" s="49"/>
      <c r="H306" s="49"/>
      <c r="I306" s="49"/>
      <c r="K306" s="49"/>
      <c r="L306" s="49"/>
      <c r="M306" s="49"/>
      <c r="N306" s="49"/>
      <c r="O306" s="49"/>
      <c r="R306" s="49"/>
      <c r="S306" s="49"/>
      <c r="T306" s="49"/>
      <c r="U306" s="49"/>
      <c r="V306" s="49"/>
      <c r="W306" s="49"/>
      <c r="X306" s="49"/>
      <c r="Z306" s="49"/>
      <c r="AA306" s="49"/>
      <c r="AB306" s="49"/>
      <c r="AC306" s="49"/>
      <c r="AD306" s="49"/>
    </row>
    <row r="307" spans="3:30" x14ac:dyDescent="0.35">
      <c r="C307" s="49"/>
      <c r="D307" s="49"/>
      <c r="E307" s="49"/>
      <c r="F307" s="49"/>
      <c r="G307" s="49"/>
      <c r="H307" s="49"/>
      <c r="I307" s="49"/>
      <c r="K307" s="49"/>
      <c r="L307" s="49"/>
      <c r="M307" s="49"/>
      <c r="N307" s="49"/>
      <c r="O307" s="49"/>
      <c r="R307" s="49"/>
      <c r="S307" s="49"/>
      <c r="T307" s="49"/>
      <c r="U307" s="49"/>
      <c r="V307" s="49"/>
      <c r="W307" s="49"/>
      <c r="X307" s="49"/>
      <c r="Z307" s="49"/>
      <c r="AA307" s="49"/>
      <c r="AB307" s="49"/>
      <c r="AC307" s="49"/>
      <c r="AD307" s="49"/>
    </row>
    <row r="308" spans="3:30" x14ac:dyDescent="0.35">
      <c r="C308" s="49"/>
      <c r="D308" s="49"/>
      <c r="E308" s="49"/>
      <c r="F308" s="49"/>
      <c r="G308" s="49"/>
      <c r="H308" s="49"/>
      <c r="I308" s="49"/>
      <c r="K308" s="49"/>
      <c r="L308" s="49"/>
      <c r="M308" s="49"/>
      <c r="N308" s="49"/>
      <c r="O308" s="49"/>
      <c r="R308" s="49"/>
      <c r="S308" s="49"/>
      <c r="T308" s="49"/>
      <c r="U308" s="49"/>
      <c r="V308" s="49"/>
      <c r="W308" s="49"/>
      <c r="X308" s="49"/>
      <c r="Z308" s="49"/>
      <c r="AA308" s="49"/>
      <c r="AB308" s="49"/>
      <c r="AC308" s="49"/>
      <c r="AD308" s="49"/>
    </row>
    <row r="309" spans="3:30" x14ac:dyDescent="0.35">
      <c r="C309" s="49"/>
      <c r="D309" s="49"/>
      <c r="E309" s="49"/>
      <c r="F309" s="49"/>
      <c r="G309" s="49"/>
      <c r="H309" s="49"/>
      <c r="I309" s="49"/>
      <c r="K309" s="49"/>
      <c r="L309" s="49"/>
      <c r="M309" s="49"/>
      <c r="N309" s="49"/>
      <c r="O309" s="49"/>
      <c r="R309" s="49"/>
      <c r="S309" s="49"/>
      <c r="T309" s="49"/>
      <c r="U309" s="49"/>
      <c r="V309" s="49"/>
      <c r="W309" s="49"/>
      <c r="X309" s="49"/>
      <c r="Z309" s="49"/>
      <c r="AA309" s="49"/>
      <c r="AB309" s="49"/>
      <c r="AC309" s="49"/>
      <c r="AD309" s="49"/>
    </row>
    <row r="310" spans="3:30" x14ac:dyDescent="0.35">
      <c r="C310" s="49"/>
      <c r="D310" s="49"/>
      <c r="E310" s="49"/>
      <c r="F310" s="49"/>
      <c r="G310" s="49"/>
      <c r="H310" s="49"/>
      <c r="I310" s="49"/>
      <c r="K310" s="49"/>
      <c r="L310" s="49"/>
      <c r="M310" s="49"/>
      <c r="N310" s="49"/>
      <c r="O310" s="49"/>
      <c r="R310" s="49"/>
      <c r="S310" s="49"/>
      <c r="T310" s="49"/>
      <c r="U310" s="49"/>
      <c r="V310" s="49"/>
      <c r="W310" s="49"/>
      <c r="X310" s="49"/>
      <c r="Z310" s="49"/>
      <c r="AA310" s="49"/>
      <c r="AB310" s="49"/>
      <c r="AC310" s="49"/>
      <c r="AD310" s="49"/>
    </row>
    <row r="311" spans="3:30" x14ac:dyDescent="0.35">
      <c r="C311" s="49"/>
      <c r="D311" s="49"/>
      <c r="E311" s="49"/>
      <c r="F311" s="49"/>
      <c r="G311" s="49"/>
      <c r="H311" s="49"/>
      <c r="I311" s="49"/>
      <c r="K311" s="49"/>
      <c r="L311" s="49"/>
      <c r="M311" s="49"/>
      <c r="N311" s="49"/>
      <c r="O311" s="49"/>
      <c r="R311" s="49"/>
      <c r="S311" s="49"/>
      <c r="T311" s="49"/>
      <c r="U311" s="49"/>
      <c r="V311" s="49"/>
      <c r="W311" s="49"/>
      <c r="X311" s="49"/>
      <c r="Z311" s="49"/>
      <c r="AA311" s="49"/>
      <c r="AB311" s="49"/>
      <c r="AC311" s="49"/>
      <c r="AD311" s="49"/>
    </row>
    <row r="312" spans="3:30" x14ac:dyDescent="0.35">
      <c r="C312" s="49"/>
      <c r="D312" s="49"/>
      <c r="E312" s="49"/>
      <c r="F312" s="49"/>
      <c r="G312" s="49"/>
      <c r="H312" s="49"/>
      <c r="I312" s="49"/>
      <c r="K312" s="49"/>
      <c r="L312" s="49"/>
      <c r="M312" s="49"/>
      <c r="N312" s="49"/>
      <c r="O312" s="49"/>
      <c r="R312" s="49"/>
      <c r="S312" s="49"/>
      <c r="T312" s="49"/>
      <c r="U312" s="49"/>
      <c r="V312" s="49"/>
      <c r="W312" s="49"/>
      <c r="X312" s="49"/>
      <c r="Z312" s="49"/>
      <c r="AA312" s="49"/>
      <c r="AB312" s="49"/>
      <c r="AC312" s="49"/>
      <c r="AD312" s="49"/>
    </row>
    <row r="313" spans="3:30" x14ac:dyDescent="0.35">
      <c r="C313" s="49"/>
      <c r="D313" s="49"/>
      <c r="E313" s="49"/>
      <c r="F313" s="49"/>
      <c r="G313" s="49"/>
      <c r="H313" s="49"/>
      <c r="I313" s="49"/>
      <c r="K313" s="49"/>
      <c r="L313" s="49"/>
      <c r="M313" s="49"/>
      <c r="N313" s="49"/>
      <c r="O313" s="49"/>
      <c r="R313" s="49"/>
      <c r="S313" s="49"/>
      <c r="T313" s="49"/>
      <c r="U313" s="49"/>
      <c r="V313" s="49"/>
      <c r="W313" s="49"/>
      <c r="X313" s="49"/>
      <c r="Z313" s="49"/>
      <c r="AA313" s="49"/>
      <c r="AB313" s="49"/>
      <c r="AC313" s="49"/>
      <c r="AD313" s="49"/>
    </row>
    <row r="314" spans="3:30" x14ac:dyDescent="0.35">
      <c r="C314" s="49"/>
      <c r="D314" s="49"/>
      <c r="E314" s="49"/>
      <c r="F314" s="49"/>
      <c r="G314" s="49"/>
      <c r="H314" s="49"/>
      <c r="I314" s="49"/>
      <c r="K314" s="49"/>
      <c r="L314" s="49"/>
      <c r="M314" s="49"/>
      <c r="N314" s="49"/>
      <c r="O314" s="49"/>
      <c r="R314" s="49"/>
      <c r="S314" s="49"/>
      <c r="T314" s="49"/>
      <c r="U314" s="49"/>
      <c r="V314" s="49"/>
      <c r="W314" s="49"/>
      <c r="X314" s="49"/>
      <c r="Z314" s="49"/>
      <c r="AA314" s="49"/>
      <c r="AB314" s="49"/>
      <c r="AC314" s="49"/>
      <c r="AD314" s="49"/>
    </row>
    <row r="315" spans="3:30" x14ac:dyDescent="0.35">
      <c r="C315" s="49"/>
      <c r="D315" s="49"/>
      <c r="E315" s="49"/>
      <c r="F315" s="49"/>
      <c r="G315" s="49"/>
      <c r="H315" s="49"/>
      <c r="I315" s="49"/>
      <c r="K315" s="49"/>
      <c r="L315" s="49"/>
      <c r="M315" s="49"/>
      <c r="N315" s="49"/>
      <c r="O315" s="49"/>
      <c r="R315" s="49"/>
      <c r="S315" s="49"/>
      <c r="T315" s="49"/>
      <c r="U315" s="49"/>
      <c r="V315" s="49"/>
      <c r="W315" s="49"/>
      <c r="X315" s="49"/>
      <c r="Z315" s="49"/>
      <c r="AA315" s="49"/>
      <c r="AB315" s="49"/>
      <c r="AC315" s="49"/>
      <c r="AD315" s="49"/>
    </row>
    <row r="316" spans="3:30" x14ac:dyDescent="0.35">
      <c r="C316" s="49"/>
      <c r="D316" s="49"/>
      <c r="E316" s="49"/>
      <c r="F316" s="49"/>
      <c r="G316" s="49"/>
      <c r="H316" s="49"/>
      <c r="I316" s="49"/>
      <c r="K316" s="49"/>
      <c r="L316" s="49"/>
      <c r="M316" s="49"/>
      <c r="N316" s="49"/>
      <c r="O316" s="49"/>
      <c r="R316" s="49"/>
      <c r="S316" s="49"/>
      <c r="T316" s="49"/>
      <c r="U316" s="49"/>
      <c r="V316" s="49"/>
      <c r="W316" s="49"/>
      <c r="X316" s="49"/>
      <c r="Z316" s="49"/>
      <c r="AA316" s="49"/>
      <c r="AB316" s="49"/>
      <c r="AC316" s="49"/>
      <c r="AD316" s="49"/>
    </row>
    <row r="317" spans="3:30" x14ac:dyDescent="0.35">
      <c r="C317" s="49"/>
      <c r="D317" s="49"/>
      <c r="E317" s="49"/>
      <c r="F317" s="49"/>
      <c r="G317" s="49"/>
      <c r="H317" s="49"/>
      <c r="I317" s="49"/>
      <c r="K317" s="49"/>
      <c r="L317" s="49"/>
      <c r="M317" s="49"/>
      <c r="N317" s="49"/>
      <c r="O317" s="49"/>
      <c r="R317" s="49"/>
      <c r="S317" s="49"/>
      <c r="T317" s="49"/>
      <c r="U317" s="49"/>
      <c r="V317" s="49"/>
      <c r="W317" s="49"/>
      <c r="X317" s="49"/>
      <c r="Z317" s="49"/>
      <c r="AA317" s="49"/>
      <c r="AB317" s="49"/>
      <c r="AC317" s="49"/>
      <c r="AD317" s="49"/>
    </row>
    <row r="318" spans="3:30" x14ac:dyDescent="0.35">
      <c r="C318" s="49"/>
      <c r="D318" s="49"/>
      <c r="E318" s="49"/>
      <c r="F318" s="49"/>
      <c r="G318" s="49"/>
      <c r="H318" s="49"/>
      <c r="I318" s="49"/>
      <c r="K318" s="49"/>
      <c r="L318" s="49"/>
      <c r="M318" s="49"/>
      <c r="N318" s="49"/>
      <c r="O318" s="49"/>
      <c r="R318" s="49"/>
      <c r="S318" s="49"/>
      <c r="T318" s="49"/>
      <c r="U318" s="49"/>
      <c r="V318" s="49"/>
      <c r="W318" s="49"/>
      <c r="X318" s="49"/>
      <c r="Z318" s="49"/>
      <c r="AA318" s="49"/>
      <c r="AB318" s="49"/>
      <c r="AC318" s="49"/>
      <c r="AD318" s="49"/>
    </row>
    <row r="319" spans="3:30" x14ac:dyDescent="0.35">
      <c r="C319" s="49"/>
      <c r="D319" s="49"/>
      <c r="E319" s="49"/>
      <c r="F319" s="49"/>
      <c r="G319" s="49"/>
      <c r="H319" s="49"/>
      <c r="I319" s="49"/>
      <c r="K319" s="49"/>
      <c r="L319" s="49"/>
      <c r="M319" s="49"/>
      <c r="N319" s="49"/>
      <c r="O319" s="49"/>
      <c r="R319" s="49"/>
      <c r="S319" s="49"/>
      <c r="T319" s="49"/>
      <c r="U319" s="49"/>
      <c r="V319" s="49"/>
      <c r="W319" s="49"/>
      <c r="X319" s="49"/>
      <c r="Z319" s="49"/>
      <c r="AA319" s="49"/>
      <c r="AB319" s="49"/>
      <c r="AC319" s="49"/>
      <c r="AD319" s="49"/>
    </row>
    <row r="320" spans="3:30" x14ac:dyDescent="0.35">
      <c r="C320" s="49"/>
      <c r="D320" s="49"/>
      <c r="E320" s="49"/>
      <c r="F320" s="49"/>
      <c r="G320" s="49"/>
      <c r="H320" s="49"/>
      <c r="I320" s="49"/>
      <c r="K320" s="49"/>
      <c r="L320" s="49"/>
      <c r="M320" s="49"/>
      <c r="N320" s="49"/>
      <c r="O320" s="49"/>
      <c r="R320" s="49"/>
      <c r="S320" s="49"/>
      <c r="T320" s="49"/>
      <c r="U320" s="49"/>
      <c r="V320" s="49"/>
      <c r="W320" s="49"/>
      <c r="X320" s="49"/>
      <c r="Z320" s="49"/>
      <c r="AA320" s="49"/>
      <c r="AB320" s="49"/>
      <c r="AC320" s="49"/>
      <c r="AD320" s="49"/>
    </row>
    <row r="321" spans="3:30" x14ac:dyDescent="0.35">
      <c r="C321" s="49"/>
      <c r="D321" s="49"/>
      <c r="E321" s="49"/>
      <c r="F321" s="49"/>
      <c r="G321" s="49"/>
      <c r="H321" s="49"/>
      <c r="I321" s="49"/>
      <c r="K321" s="49"/>
      <c r="L321" s="49"/>
      <c r="M321" s="49"/>
      <c r="N321" s="49"/>
      <c r="O321" s="49"/>
      <c r="R321" s="49"/>
      <c r="S321" s="49"/>
      <c r="T321" s="49"/>
      <c r="U321" s="49"/>
      <c r="V321" s="49"/>
      <c r="W321" s="49"/>
      <c r="X321" s="49"/>
      <c r="Z321" s="49"/>
      <c r="AA321" s="49"/>
      <c r="AB321" s="49"/>
      <c r="AC321" s="49"/>
      <c r="AD321" s="49"/>
    </row>
    <row r="322" spans="3:30" x14ac:dyDescent="0.35">
      <c r="C322" s="49"/>
      <c r="D322" s="49"/>
      <c r="E322" s="49"/>
      <c r="F322" s="49"/>
      <c r="G322" s="49"/>
      <c r="H322" s="49"/>
      <c r="I322" s="49"/>
      <c r="K322" s="49"/>
      <c r="L322" s="49"/>
      <c r="M322" s="49"/>
      <c r="N322" s="49"/>
      <c r="O322" s="49"/>
      <c r="R322" s="49"/>
      <c r="S322" s="49"/>
      <c r="T322" s="49"/>
      <c r="U322" s="49"/>
      <c r="V322" s="49"/>
      <c r="W322" s="49"/>
      <c r="X322" s="49"/>
      <c r="Z322" s="49"/>
      <c r="AA322" s="49"/>
      <c r="AB322" s="49"/>
      <c r="AC322" s="49"/>
      <c r="AD322" s="49"/>
    </row>
    <row r="323" spans="3:30" x14ac:dyDescent="0.35">
      <c r="C323" s="49"/>
      <c r="D323" s="49"/>
      <c r="E323" s="49"/>
      <c r="F323" s="49"/>
      <c r="G323" s="49"/>
      <c r="H323" s="49"/>
      <c r="I323" s="49"/>
      <c r="K323" s="49"/>
      <c r="L323" s="49"/>
      <c r="M323" s="49"/>
      <c r="N323" s="49"/>
      <c r="O323" s="49"/>
      <c r="R323" s="49"/>
      <c r="S323" s="49"/>
      <c r="T323" s="49"/>
      <c r="U323" s="49"/>
      <c r="V323" s="49"/>
      <c r="W323" s="49"/>
      <c r="X323" s="49"/>
      <c r="Z323" s="49"/>
      <c r="AA323" s="49"/>
      <c r="AB323" s="49"/>
      <c r="AC323" s="49"/>
      <c r="AD323" s="49"/>
    </row>
    <row r="324" spans="3:30" x14ac:dyDescent="0.35">
      <c r="C324" s="49"/>
      <c r="D324" s="49"/>
      <c r="E324" s="49"/>
      <c r="F324" s="49"/>
      <c r="G324" s="49"/>
      <c r="H324" s="49"/>
      <c r="I324" s="49"/>
      <c r="K324" s="49"/>
      <c r="L324" s="49"/>
      <c r="M324" s="49"/>
      <c r="N324" s="49"/>
      <c r="O324" s="49"/>
      <c r="R324" s="49"/>
      <c r="S324" s="49"/>
      <c r="T324" s="49"/>
      <c r="U324" s="49"/>
      <c r="V324" s="49"/>
      <c r="W324" s="49"/>
      <c r="X324" s="49"/>
      <c r="Z324" s="49"/>
      <c r="AA324" s="49"/>
      <c r="AB324" s="49"/>
      <c r="AC324" s="49"/>
      <c r="AD324" s="49"/>
    </row>
    <row r="325" spans="3:30" x14ac:dyDescent="0.35">
      <c r="C325" s="49"/>
      <c r="D325" s="49"/>
      <c r="E325" s="49"/>
      <c r="F325" s="49"/>
      <c r="G325" s="49"/>
      <c r="H325" s="49"/>
      <c r="I325" s="49"/>
      <c r="K325" s="49"/>
      <c r="L325" s="49"/>
      <c r="M325" s="49"/>
      <c r="N325" s="49"/>
      <c r="O325" s="49"/>
      <c r="R325" s="49"/>
      <c r="S325" s="49"/>
      <c r="T325" s="49"/>
      <c r="U325" s="49"/>
      <c r="V325" s="49"/>
      <c r="W325" s="49"/>
      <c r="X325" s="49"/>
      <c r="Z325" s="49"/>
      <c r="AA325" s="49"/>
      <c r="AB325" s="49"/>
      <c r="AC325" s="49"/>
      <c r="AD325" s="49"/>
    </row>
    <row r="326" spans="3:30" x14ac:dyDescent="0.35">
      <c r="C326" s="49"/>
      <c r="D326" s="49"/>
      <c r="E326" s="49"/>
      <c r="F326" s="49"/>
      <c r="G326" s="49"/>
      <c r="H326" s="49"/>
      <c r="I326" s="49"/>
      <c r="K326" s="49"/>
      <c r="L326" s="49"/>
      <c r="M326" s="49"/>
      <c r="N326" s="49"/>
      <c r="O326" s="49"/>
      <c r="R326" s="49"/>
      <c r="S326" s="49"/>
      <c r="T326" s="49"/>
      <c r="U326" s="49"/>
      <c r="V326" s="49"/>
      <c r="W326" s="49"/>
      <c r="X326" s="49"/>
      <c r="Z326" s="49"/>
      <c r="AA326" s="49"/>
      <c r="AB326" s="49"/>
      <c r="AC326" s="49"/>
      <c r="AD326" s="49"/>
    </row>
    <row r="327" spans="3:30" x14ac:dyDescent="0.35">
      <c r="C327" s="49"/>
      <c r="D327" s="49"/>
      <c r="E327" s="49"/>
      <c r="F327" s="49"/>
      <c r="G327" s="49"/>
      <c r="H327" s="49"/>
      <c r="I327" s="49"/>
      <c r="K327" s="49"/>
      <c r="L327" s="49"/>
      <c r="M327" s="49"/>
      <c r="N327" s="49"/>
      <c r="O327" s="49"/>
      <c r="R327" s="49"/>
      <c r="S327" s="49"/>
      <c r="T327" s="49"/>
      <c r="U327" s="49"/>
      <c r="V327" s="49"/>
      <c r="W327" s="49"/>
      <c r="X327" s="49"/>
      <c r="Z327" s="49"/>
      <c r="AA327" s="49"/>
      <c r="AB327" s="49"/>
      <c r="AC327" s="49"/>
      <c r="AD327" s="49"/>
    </row>
    <row r="328" spans="3:30" x14ac:dyDescent="0.35">
      <c r="C328" s="49"/>
      <c r="D328" s="49"/>
      <c r="E328" s="49"/>
      <c r="F328" s="49"/>
      <c r="G328" s="49"/>
      <c r="H328" s="49"/>
      <c r="I328" s="49"/>
      <c r="K328" s="49"/>
      <c r="L328" s="49"/>
      <c r="M328" s="49"/>
      <c r="N328" s="49"/>
      <c r="O328" s="49"/>
      <c r="R328" s="49"/>
      <c r="S328" s="49"/>
      <c r="T328" s="49"/>
      <c r="U328" s="49"/>
      <c r="V328" s="49"/>
      <c r="W328" s="49"/>
      <c r="X328" s="49"/>
      <c r="Z328" s="49"/>
      <c r="AA328" s="49"/>
      <c r="AB328" s="49"/>
      <c r="AC328" s="49"/>
      <c r="AD328" s="49"/>
    </row>
    <row r="329" spans="3:30" x14ac:dyDescent="0.35">
      <c r="C329" s="49"/>
      <c r="D329" s="49"/>
      <c r="E329" s="49"/>
      <c r="F329" s="49"/>
      <c r="G329" s="49"/>
      <c r="H329" s="49"/>
      <c r="I329" s="49"/>
      <c r="K329" s="49"/>
      <c r="L329" s="49"/>
      <c r="M329" s="49"/>
      <c r="N329" s="49"/>
      <c r="O329" s="49"/>
      <c r="R329" s="49"/>
      <c r="S329" s="49"/>
      <c r="T329" s="49"/>
      <c r="U329" s="49"/>
      <c r="V329" s="49"/>
      <c r="W329" s="49"/>
      <c r="X329" s="49"/>
      <c r="Z329" s="49"/>
      <c r="AA329" s="49"/>
      <c r="AB329" s="49"/>
      <c r="AC329" s="49"/>
      <c r="AD329" s="49"/>
    </row>
    <row r="330" spans="3:30" x14ac:dyDescent="0.35">
      <c r="C330" s="49"/>
      <c r="D330" s="49"/>
      <c r="E330" s="49"/>
      <c r="F330" s="49"/>
      <c r="G330" s="49"/>
      <c r="H330" s="49"/>
      <c r="I330" s="49"/>
      <c r="K330" s="49"/>
      <c r="L330" s="49"/>
      <c r="M330" s="49"/>
      <c r="N330" s="49"/>
      <c r="O330" s="49"/>
      <c r="R330" s="49"/>
      <c r="S330" s="49"/>
      <c r="T330" s="49"/>
      <c r="U330" s="49"/>
      <c r="V330" s="49"/>
      <c r="W330" s="49"/>
      <c r="X330" s="49"/>
      <c r="Z330" s="49"/>
      <c r="AA330" s="49"/>
      <c r="AB330" s="49"/>
      <c r="AC330" s="49"/>
      <c r="AD330" s="49"/>
    </row>
    <row r="331" spans="3:30" x14ac:dyDescent="0.35">
      <c r="C331" s="49"/>
      <c r="D331" s="49"/>
      <c r="E331" s="49"/>
      <c r="F331" s="49"/>
      <c r="G331" s="49"/>
      <c r="H331" s="49"/>
      <c r="I331" s="49"/>
      <c r="K331" s="49"/>
      <c r="L331" s="49"/>
      <c r="M331" s="49"/>
      <c r="N331" s="49"/>
      <c r="O331" s="49"/>
      <c r="R331" s="49"/>
      <c r="S331" s="49"/>
      <c r="T331" s="49"/>
      <c r="U331" s="49"/>
      <c r="V331" s="49"/>
      <c r="W331" s="49"/>
      <c r="X331" s="49"/>
      <c r="Z331" s="49"/>
      <c r="AA331" s="49"/>
      <c r="AB331" s="49"/>
      <c r="AC331" s="49"/>
      <c r="AD331" s="49"/>
    </row>
    <row r="332" spans="3:30" x14ac:dyDescent="0.35">
      <c r="C332" s="49"/>
      <c r="D332" s="49"/>
      <c r="E332" s="49"/>
      <c r="F332" s="49"/>
      <c r="G332" s="49"/>
      <c r="H332" s="49"/>
      <c r="I332" s="49"/>
      <c r="K332" s="49"/>
      <c r="L332" s="49"/>
      <c r="M332" s="49"/>
      <c r="N332" s="49"/>
      <c r="O332" s="49"/>
      <c r="R332" s="49"/>
      <c r="S332" s="49"/>
      <c r="T332" s="49"/>
      <c r="U332" s="49"/>
      <c r="V332" s="49"/>
      <c r="W332" s="49"/>
      <c r="X332" s="49"/>
      <c r="Z332" s="49"/>
      <c r="AA332" s="49"/>
      <c r="AB332" s="49"/>
      <c r="AC332" s="49"/>
      <c r="AD332" s="49"/>
    </row>
    <row r="333" spans="3:30" x14ac:dyDescent="0.35">
      <c r="C333" s="49"/>
      <c r="D333" s="49"/>
      <c r="E333" s="49"/>
      <c r="F333" s="49"/>
      <c r="G333" s="49"/>
      <c r="H333" s="49"/>
      <c r="I333" s="49"/>
      <c r="K333" s="49"/>
      <c r="L333" s="49"/>
      <c r="M333" s="49"/>
      <c r="N333" s="49"/>
      <c r="O333" s="49"/>
      <c r="R333" s="49"/>
      <c r="S333" s="49"/>
      <c r="T333" s="49"/>
      <c r="U333" s="49"/>
      <c r="V333" s="49"/>
      <c r="W333" s="49"/>
      <c r="X333" s="49"/>
      <c r="Z333" s="49"/>
      <c r="AA333" s="49"/>
      <c r="AB333" s="49"/>
      <c r="AC333" s="49"/>
      <c r="AD333" s="49"/>
    </row>
    <row r="334" spans="3:30" x14ac:dyDescent="0.35">
      <c r="C334" s="49"/>
      <c r="D334" s="49"/>
      <c r="E334" s="49"/>
      <c r="F334" s="49"/>
      <c r="G334" s="49"/>
      <c r="H334" s="49"/>
      <c r="I334" s="49"/>
      <c r="K334" s="49"/>
      <c r="L334" s="49"/>
      <c r="M334" s="49"/>
      <c r="N334" s="49"/>
      <c r="O334" s="49"/>
      <c r="R334" s="49"/>
      <c r="S334" s="49"/>
      <c r="T334" s="49"/>
      <c r="U334" s="49"/>
      <c r="V334" s="49"/>
      <c r="W334" s="49"/>
      <c r="X334" s="49"/>
      <c r="Z334" s="49"/>
      <c r="AA334" s="49"/>
      <c r="AB334" s="49"/>
      <c r="AC334" s="49"/>
      <c r="AD334" s="49"/>
    </row>
    <row r="335" spans="3:30" x14ac:dyDescent="0.35">
      <c r="C335" s="49"/>
      <c r="D335" s="49"/>
      <c r="E335" s="49"/>
      <c r="F335" s="49"/>
      <c r="G335" s="49"/>
      <c r="H335" s="49"/>
      <c r="I335" s="49"/>
      <c r="K335" s="49"/>
      <c r="L335" s="49"/>
      <c r="M335" s="49"/>
      <c r="N335" s="49"/>
      <c r="O335" s="49"/>
      <c r="R335" s="49"/>
      <c r="S335" s="49"/>
      <c r="T335" s="49"/>
      <c r="U335" s="49"/>
      <c r="V335" s="49"/>
      <c r="W335" s="49"/>
      <c r="X335" s="49"/>
      <c r="Z335" s="49"/>
      <c r="AA335" s="49"/>
      <c r="AB335" s="49"/>
      <c r="AC335" s="49"/>
      <c r="AD335" s="49"/>
    </row>
    <row r="336" spans="3:30" x14ac:dyDescent="0.35">
      <c r="C336" s="49"/>
      <c r="D336" s="49"/>
      <c r="E336" s="49"/>
      <c r="F336" s="49"/>
      <c r="G336" s="49"/>
      <c r="H336" s="49"/>
      <c r="I336" s="49"/>
      <c r="K336" s="49"/>
      <c r="L336" s="49"/>
      <c r="M336" s="49"/>
      <c r="N336" s="49"/>
      <c r="O336" s="49"/>
      <c r="R336" s="49"/>
      <c r="S336" s="49"/>
      <c r="T336" s="49"/>
      <c r="U336" s="49"/>
      <c r="V336" s="49"/>
      <c r="W336" s="49"/>
      <c r="X336" s="49"/>
      <c r="Z336" s="49"/>
      <c r="AA336" s="49"/>
      <c r="AB336" s="49"/>
      <c r="AC336" s="49"/>
      <c r="AD336" s="49"/>
    </row>
    <row r="337" spans="3:30" x14ac:dyDescent="0.35">
      <c r="C337" s="49"/>
      <c r="D337" s="49"/>
      <c r="E337" s="49"/>
      <c r="F337" s="49"/>
      <c r="G337" s="49"/>
      <c r="H337" s="49"/>
      <c r="I337" s="49"/>
      <c r="K337" s="49"/>
      <c r="L337" s="49"/>
      <c r="M337" s="49"/>
      <c r="N337" s="49"/>
      <c r="O337" s="49"/>
      <c r="R337" s="49"/>
      <c r="S337" s="49"/>
      <c r="T337" s="49"/>
      <c r="U337" s="49"/>
      <c r="V337" s="49"/>
      <c r="W337" s="49"/>
      <c r="X337" s="49"/>
      <c r="Z337" s="49"/>
      <c r="AA337" s="49"/>
      <c r="AB337" s="49"/>
      <c r="AC337" s="49"/>
      <c r="AD337" s="49"/>
    </row>
    <row r="338" spans="3:30" x14ac:dyDescent="0.35">
      <c r="C338" s="49"/>
      <c r="D338" s="49"/>
      <c r="E338" s="49"/>
      <c r="F338" s="49"/>
      <c r="G338" s="49"/>
      <c r="H338" s="49"/>
      <c r="I338" s="49"/>
      <c r="K338" s="49"/>
      <c r="L338" s="49"/>
      <c r="M338" s="49"/>
      <c r="N338" s="49"/>
      <c r="O338" s="49"/>
      <c r="R338" s="49"/>
      <c r="S338" s="49"/>
      <c r="T338" s="49"/>
      <c r="U338" s="49"/>
      <c r="V338" s="49"/>
      <c r="W338" s="49"/>
      <c r="X338" s="49"/>
      <c r="Z338" s="49"/>
      <c r="AA338" s="49"/>
      <c r="AB338" s="49"/>
      <c r="AC338" s="49"/>
      <c r="AD338" s="49"/>
    </row>
    <row r="339" spans="3:30" x14ac:dyDescent="0.35">
      <c r="C339" s="49"/>
      <c r="D339" s="49"/>
      <c r="E339" s="49"/>
      <c r="F339" s="49"/>
      <c r="G339" s="49"/>
      <c r="H339" s="49"/>
      <c r="I339" s="49"/>
      <c r="K339" s="49"/>
      <c r="L339" s="49"/>
      <c r="M339" s="49"/>
      <c r="N339" s="49"/>
      <c r="O339" s="49"/>
      <c r="R339" s="49"/>
      <c r="S339" s="49"/>
      <c r="T339" s="49"/>
      <c r="U339" s="49"/>
      <c r="V339" s="49"/>
      <c r="W339" s="49"/>
      <c r="X339" s="49"/>
      <c r="Z339" s="49"/>
      <c r="AA339" s="49"/>
      <c r="AB339" s="49"/>
      <c r="AC339" s="49"/>
      <c r="AD339" s="49"/>
    </row>
    <row r="340" spans="3:30" x14ac:dyDescent="0.35">
      <c r="C340" s="49"/>
      <c r="D340" s="49"/>
      <c r="E340" s="49"/>
      <c r="F340" s="49"/>
      <c r="G340" s="49"/>
      <c r="H340" s="49"/>
      <c r="I340" s="49"/>
      <c r="K340" s="49"/>
      <c r="L340" s="49"/>
      <c r="M340" s="49"/>
      <c r="N340" s="49"/>
      <c r="O340" s="49"/>
      <c r="R340" s="49"/>
      <c r="S340" s="49"/>
      <c r="T340" s="49"/>
      <c r="U340" s="49"/>
      <c r="V340" s="49"/>
      <c r="W340" s="49"/>
      <c r="X340" s="49"/>
      <c r="Z340" s="49"/>
      <c r="AA340" s="49"/>
      <c r="AB340" s="49"/>
      <c r="AC340" s="49"/>
      <c r="AD340" s="49"/>
    </row>
    <row r="341" spans="3:30" x14ac:dyDescent="0.35">
      <c r="C341" s="49"/>
      <c r="D341" s="49"/>
      <c r="E341" s="49"/>
      <c r="F341" s="49"/>
      <c r="G341" s="49"/>
      <c r="H341" s="49"/>
      <c r="I341" s="49"/>
      <c r="K341" s="49"/>
      <c r="L341" s="49"/>
      <c r="M341" s="49"/>
      <c r="N341" s="49"/>
      <c r="O341" s="49"/>
      <c r="R341" s="49"/>
      <c r="S341" s="49"/>
      <c r="T341" s="49"/>
      <c r="U341" s="49"/>
      <c r="V341" s="49"/>
      <c r="W341" s="49"/>
      <c r="X341" s="49"/>
      <c r="Z341" s="49"/>
      <c r="AA341" s="49"/>
      <c r="AB341" s="49"/>
      <c r="AC341" s="49"/>
      <c r="AD341" s="49"/>
    </row>
    <row r="342" spans="3:30" x14ac:dyDescent="0.35">
      <c r="C342" s="49"/>
      <c r="D342" s="49"/>
      <c r="E342" s="49"/>
      <c r="F342" s="49"/>
      <c r="G342" s="49"/>
      <c r="H342" s="49"/>
      <c r="I342" s="49"/>
      <c r="K342" s="49"/>
      <c r="L342" s="49"/>
      <c r="M342" s="49"/>
      <c r="N342" s="49"/>
      <c r="O342" s="49"/>
      <c r="R342" s="49"/>
      <c r="S342" s="49"/>
      <c r="T342" s="49"/>
      <c r="U342" s="49"/>
      <c r="V342" s="49"/>
      <c r="W342" s="49"/>
      <c r="X342" s="49"/>
      <c r="Z342" s="49"/>
      <c r="AA342" s="49"/>
      <c r="AB342" s="49"/>
      <c r="AC342" s="49"/>
      <c r="AD342" s="49"/>
    </row>
    <row r="343" spans="3:30" x14ac:dyDescent="0.35">
      <c r="C343" s="49"/>
      <c r="D343" s="49"/>
      <c r="E343" s="49"/>
      <c r="F343" s="49"/>
      <c r="G343" s="49"/>
      <c r="H343" s="49"/>
      <c r="I343" s="49"/>
      <c r="K343" s="49"/>
      <c r="L343" s="49"/>
      <c r="M343" s="49"/>
      <c r="N343" s="49"/>
      <c r="O343" s="49"/>
      <c r="R343" s="49"/>
      <c r="S343" s="49"/>
      <c r="T343" s="49"/>
      <c r="U343" s="49"/>
      <c r="V343" s="49"/>
      <c r="W343" s="49"/>
      <c r="X343" s="49"/>
      <c r="Z343" s="49"/>
      <c r="AA343" s="49"/>
      <c r="AB343" s="49"/>
      <c r="AC343" s="49"/>
      <c r="AD343" s="49"/>
    </row>
    <row r="344" spans="3:30" x14ac:dyDescent="0.35">
      <c r="C344" s="49"/>
      <c r="D344" s="49"/>
      <c r="E344" s="49"/>
      <c r="F344" s="49"/>
      <c r="G344" s="49"/>
      <c r="H344" s="49"/>
      <c r="I344" s="49"/>
      <c r="K344" s="49"/>
      <c r="L344" s="49"/>
      <c r="M344" s="49"/>
      <c r="N344" s="49"/>
      <c r="O344" s="49"/>
      <c r="R344" s="49"/>
      <c r="S344" s="49"/>
      <c r="T344" s="49"/>
      <c r="U344" s="49"/>
      <c r="V344" s="49"/>
      <c r="W344" s="49"/>
      <c r="X344" s="49"/>
      <c r="Z344" s="49"/>
      <c r="AA344" s="49"/>
      <c r="AB344" s="49"/>
      <c r="AC344" s="49"/>
      <c r="AD344" s="49"/>
    </row>
    <row r="345" spans="3:30" x14ac:dyDescent="0.35">
      <c r="C345" s="49"/>
      <c r="D345" s="49"/>
      <c r="E345" s="49"/>
      <c r="F345" s="49"/>
      <c r="G345" s="49"/>
      <c r="H345" s="49"/>
      <c r="I345" s="49"/>
      <c r="K345" s="49"/>
      <c r="L345" s="49"/>
      <c r="M345" s="49"/>
      <c r="N345" s="49"/>
      <c r="O345" s="49"/>
      <c r="R345" s="49"/>
      <c r="S345" s="49"/>
      <c r="T345" s="49"/>
      <c r="U345" s="49"/>
      <c r="V345" s="49"/>
      <c r="W345" s="49"/>
      <c r="X345" s="49"/>
      <c r="Z345" s="49"/>
      <c r="AA345" s="49"/>
      <c r="AB345" s="49"/>
      <c r="AC345" s="49"/>
      <c r="AD345" s="49"/>
    </row>
    <row r="346" spans="3:30" x14ac:dyDescent="0.35">
      <c r="C346" s="49"/>
      <c r="D346" s="49"/>
      <c r="E346" s="49"/>
      <c r="F346" s="49"/>
      <c r="G346" s="49"/>
      <c r="H346" s="49"/>
      <c r="I346" s="49"/>
      <c r="K346" s="49"/>
      <c r="L346" s="49"/>
      <c r="M346" s="49"/>
      <c r="N346" s="49"/>
      <c r="O346" s="49"/>
      <c r="R346" s="49"/>
      <c r="S346" s="49"/>
      <c r="T346" s="49"/>
      <c r="U346" s="49"/>
      <c r="V346" s="49"/>
      <c r="W346" s="49"/>
      <c r="X346" s="49"/>
      <c r="Z346" s="49"/>
      <c r="AA346" s="49"/>
      <c r="AB346" s="49"/>
      <c r="AC346" s="49"/>
      <c r="AD346" s="49"/>
    </row>
    <row r="347" spans="3:30" x14ac:dyDescent="0.35">
      <c r="C347" s="49"/>
      <c r="D347" s="49"/>
      <c r="E347" s="49"/>
      <c r="F347" s="49"/>
      <c r="G347" s="49"/>
      <c r="H347" s="49"/>
      <c r="I347" s="49"/>
      <c r="K347" s="49"/>
      <c r="L347" s="49"/>
      <c r="M347" s="49"/>
      <c r="N347" s="49"/>
      <c r="O347" s="49"/>
      <c r="R347" s="49"/>
      <c r="S347" s="49"/>
      <c r="T347" s="49"/>
      <c r="U347" s="49"/>
      <c r="V347" s="49"/>
      <c r="W347" s="49"/>
      <c r="X347" s="49"/>
      <c r="Z347" s="49"/>
      <c r="AA347" s="49"/>
      <c r="AB347" s="49"/>
      <c r="AC347" s="49"/>
      <c r="AD347" s="49"/>
    </row>
    <row r="348" spans="3:30" x14ac:dyDescent="0.35">
      <c r="C348" s="49"/>
      <c r="D348" s="49"/>
      <c r="E348" s="49"/>
      <c r="F348" s="49"/>
      <c r="G348" s="49"/>
      <c r="H348" s="49"/>
      <c r="I348" s="49"/>
      <c r="K348" s="49"/>
      <c r="L348" s="49"/>
      <c r="M348" s="49"/>
      <c r="N348" s="49"/>
      <c r="O348" s="49"/>
      <c r="R348" s="49"/>
      <c r="S348" s="49"/>
      <c r="T348" s="49"/>
      <c r="U348" s="49"/>
      <c r="V348" s="49"/>
      <c r="W348" s="49"/>
      <c r="X348" s="49"/>
      <c r="Z348" s="49"/>
      <c r="AA348" s="49"/>
      <c r="AB348" s="49"/>
      <c r="AC348" s="49"/>
      <c r="AD348" s="49"/>
    </row>
    <row r="349" spans="3:30" x14ac:dyDescent="0.35">
      <c r="C349" s="49"/>
      <c r="D349" s="49"/>
      <c r="E349" s="49"/>
      <c r="F349" s="49"/>
      <c r="G349" s="49"/>
      <c r="H349" s="49"/>
      <c r="I349" s="49"/>
      <c r="K349" s="49"/>
      <c r="L349" s="49"/>
      <c r="M349" s="49"/>
      <c r="N349" s="49"/>
      <c r="O349" s="49"/>
      <c r="R349" s="49"/>
      <c r="S349" s="49"/>
      <c r="T349" s="49"/>
      <c r="U349" s="49"/>
      <c r="V349" s="49"/>
      <c r="W349" s="49"/>
      <c r="X349" s="49"/>
      <c r="Z349" s="49"/>
      <c r="AA349" s="49"/>
      <c r="AB349" s="49"/>
      <c r="AC349" s="49"/>
      <c r="AD349" s="49"/>
    </row>
    <row r="350" spans="3:30" x14ac:dyDescent="0.35">
      <c r="C350" s="49"/>
      <c r="D350" s="49"/>
      <c r="E350" s="49"/>
      <c r="F350" s="49"/>
      <c r="G350" s="49"/>
      <c r="H350" s="49"/>
      <c r="I350" s="49"/>
      <c r="K350" s="49"/>
      <c r="L350" s="49"/>
      <c r="M350" s="49"/>
      <c r="N350" s="49"/>
      <c r="O350" s="49"/>
      <c r="R350" s="49"/>
      <c r="S350" s="49"/>
      <c r="T350" s="49"/>
      <c r="U350" s="49"/>
      <c r="V350" s="49"/>
      <c r="W350" s="49"/>
      <c r="X350" s="49"/>
      <c r="Z350" s="49"/>
      <c r="AA350" s="49"/>
      <c r="AB350" s="49"/>
      <c r="AC350" s="49"/>
      <c r="AD350" s="49"/>
    </row>
  </sheetData>
  <sheetProtection password="CD8A" sheet="1" objects="1" scenarios="1"/>
  <mergeCells count="64">
    <mergeCell ref="C1:O1"/>
    <mergeCell ref="R1:AD1"/>
    <mergeCell ref="C5:D5"/>
    <mergeCell ref="R5:S5"/>
    <mergeCell ref="C60:D60"/>
    <mergeCell ref="R60:S60"/>
    <mergeCell ref="C61:D61"/>
    <mergeCell ref="R61:S61"/>
    <mergeCell ref="C62:D62"/>
    <mergeCell ref="R62:S62"/>
    <mergeCell ref="C63:D63"/>
    <mergeCell ref="R63:S63"/>
    <mergeCell ref="C64:D64"/>
    <mergeCell ref="R64:S64"/>
    <mergeCell ref="C65:D65"/>
    <mergeCell ref="R65:S65"/>
    <mergeCell ref="C106:D106"/>
    <mergeCell ref="R106:S106"/>
    <mergeCell ref="C107:D107"/>
    <mergeCell ref="R107:S107"/>
    <mergeCell ref="C108:D108"/>
    <mergeCell ref="R108:S108"/>
    <mergeCell ref="C109:D109"/>
    <mergeCell ref="R109:S109"/>
    <mergeCell ref="C110:D110"/>
    <mergeCell ref="R110:S110"/>
    <mergeCell ref="C111:D111"/>
    <mergeCell ref="R111:S111"/>
    <mergeCell ref="C152:D152"/>
    <mergeCell ref="R152:S152"/>
    <mergeCell ref="C153:D153"/>
    <mergeCell ref="R153:S153"/>
    <mergeCell ref="C154:D154"/>
    <mergeCell ref="R154:S154"/>
    <mergeCell ref="C155:D155"/>
    <mergeCell ref="R155:S155"/>
    <mergeCell ref="C156:D156"/>
    <mergeCell ref="R156:S156"/>
    <mergeCell ref="C157:D157"/>
    <mergeCell ref="R157:S157"/>
    <mergeCell ref="C198:D198"/>
    <mergeCell ref="R198:S198"/>
    <mergeCell ref="C199:D199"/>
    <mergeCell ref="R199:S199"/>
    <mergeCell ref="C200:D200"/>
    <mergeCell ref="R200:S200"/>
    <mergeCell ref="C201:D201"/>
    <mergeCell ref="R201:S201"/>
    <mergeCell ref="C202:D202"/>
    <mergeCell ref="R202:S202"/>
    <mergeCell ref="C203:D203"/>
    <mergeCell ref="R203:S203"/>
    <mergeCell ref="C244:D244"/>
    <mergeCell ref="R244:S244"/>
    <mergeCell ref="C248:D248"/>
    <mergeCell ref="R248:S248"/>
    <mergeCell ref="C249:D249"/>
    <mergeCell ref="R249:S249"/>
    <mergeCell ref="C245:D245"/>
    <mergeCell ref="R245:S245"/>
    <mergeCell ref="C246:D246"/>
    <mergeCell ref="R246:S246"/>
    <mergeCell ref="C247:D247"/>
    <mergeCell ref="R247:S247"/>
  </mergeCells>
  <conditionalFormatting sqref="N13:N22 N26:N27 N31:N36">
    <cfRule type="dataBar" priority="721">
      <dataBar>
        <cfvo type="min"/>
        <cfvo type="max"/>
        <color rgb="FF638EC6"/>
      </dataBar>
      <extLst>
        <ext xmlns:x14="http://schemas.microsoft.com/office/spreadsheetml/2009/9/main" uri="{B025F937-C7B1-47D3-B67F-A62EFF666E3E}">
          <x14:id>{4EB3D27F-9D25-4571-A52F-D617D27E143C}</x14:id>
        </ext>
      </extLst>
    </cfRule>
  </conditionalFormatting>
  <conditionalFormatting sqref="O37">
    <cfRule type="top10" dxfId="173" priority="742" rank="4"/>
  </conditionalFormatting>
  <conditionalFormatting sqref="AC13:AC22 AC26:AC27 AC31:AC36">
    <cfRule type="dataBar" priority="699">
      <dataBar>
        <cfvo type="min"/>
        <cfvo type="max"/>
        <color rgb="FF638EC6"/>
      </dataBar>
      <extLst>
        <ext xmlns:x14="http://schemas.microsoft.com/office/spreadsheetml/2009/9/main" uri="{B025F937-C7B1-47D3-B67F-A62EFF666E3E}">
          <x14:id>{7235E242-3E88-4C2A-88A0-551D165528B0}</x14:id>
        </ext>
      </extLst>
    </cfRule>
  </conditionalFormatting>
  <conditionalFormatting sqref="AD37">
    <cfRule type="top10" dxfId="172" priority="700" rank="4"/>
  </conditionalFormatting>
  <conditionalFormatting sqref="O126">
    <cfRule type="top10" dxfId="171" priority="473" rank="4"/>
  </conditionalFormatting>
  <conditionalFormatting sqref="N54:N67 N70:N71 N75:N79">
    <cfRule type="dataBar" priority="352">
      <dataBar>
        <cfvo type="min"/>
        <cfvo type="max"/>
        <color rgb="FF638EC6"/>
      </dataBar>
      <extLst>
        <ext xmlns:x14="http://schemas.microsoft.com/office/spreadsheetml/2009/9/main" uri="{B025F937-C7B1-47D3-B67F-A62EFF666E3E}">
          <x14:id>{980A125D-5416-4545-9B27-627F6A7D193E}</x14:id>
        </ext>
      </extLst>
    </cfRule>
  </conditionalFormatting>
  <conditionalFormatting sqref="O80">
    <cfRule type="top10" dxfId="170" priority="351" rank="4"/>
  </conditionalFormatting>
  <conditionalFormatting sqref="AD80">
    <cfRule type="top10" dxfId="169" priority="342" rank="4"/>
  </conditionalFormatting>
  <conditionalFormatting sqref="N100:N113 N116:N117 N121:N125">
    <cfRule type="dataBar" priority="334">
      <dataBar>
        <cfvo type="min"/>
        <cfvo type="max"/>
        <color rgb="FF638EC6"/>
      </dataBar>
      <extLst>
        <ext xmlns:x14="http://schemas.microsoft.com/office/spreadsheetml/2009/9/main" uri="{B025F937-C7B1-47D3-B67F-A62EFF666E3E}">
          <x14:id>{D84640BE-3CCA-4846-8467-E7AD20DCCBBA}</x14:id>
        </ext>
      </extLst>
    </cfRule>
  </conditionalFormatting>
  <conditionalFormatting sqref="N192:N205 N208:N209 N213:N217">
    <cfRule type="dataBar" priority="311">
      <dataBar>
        <cfvo type="min"/>
        <cfvo type="max"/>
        <color rgb="FF638EC6"/>
      </dataBar>
      <extLst>
        <ext xmlns:x14="http://schemas.microsoft.com/office/spreadsheetml/2009/9/main" uri="{B025F937-C7B1-47D3-B67F-A62EFF666E3E}">
          <x14:id>{13B4E21B-7D08-4FCD-9D49-8599999F2721}</x14:id>
        </ext>
      </extLst>
    </cfRule>
  </conditionalFormatting>
  <conditionalFormatting sqref="O218">
    <cfRule type="top10" dxfId="168" priority="310" rank="4"/>
  </conditionalFormatting>
  <conditionalFormatting sqref="AD218">
    <cfRule type="top10" dxfId="167" priority="301" rank="4"/>
  </conditionalFormatting>
  <conditionalFormatting sqref="N238:N251 N254:N255 N259:N263">
    <cfRule type="dataBar" priority="284">
      <dataBar>
        <cfvo type="min"/>
        <cfvo type="max"/>
        <color rgb="FF638EC6"/>
      </dataBar>
      <extLst>
        <ext xmlns:x14="http://schemas.microsoft.com/office/spreadsheetml/2009/9/main" uri="{B025F937-C7B1-47D3-B67F-A62EFF666E3E}">
          <x14:id>{5D5EA286-A6D8-4521-8310-35D6291BFF1F}</x14:id>
        </ext>
      </extLst>
    </cfRule>
  </conditionalFormatting>
  <conditionalFormatting sqref="O264">
    <cfRule type="top10" dxfId="166" priority="283" rank="4"/>
  </conditionalFormatting>
  <conditionalFormatting sqref="AD264">
    <cfRule type="top10" dxfId="165" priority="274" rank="4"/>
  </conditionalFormatting>
  <conditionalFormatting sqref="O172">
    <cfRule type="top10" dxfId="164" priority="265" rank="4"/>
  </conditionalFormatting>
  <conditionalFormatting sqref="AD172">
    <cfRule type="top10" dxfId="163" priority="257" rank="4"/>
  </conditionalFormatting>
  <conditionalFormatting sqref="AD126">
    <cfRule type="top10" dxfId="162" priority="250" rank="4"/>
  </conditionalFormatting>
  <conditionalFormatting sqref="AC192:AC205 AC208:AC209 AC213:AC217">
    <cfRule type="dataBar" priority="242">
      <dataBar>
        <cfvo type="min"/>
        <cfvo type="max"/>
        <color rgb="FF638EC6"/>
      </dataBar>
      <extLst>
        <ext xmlns:x14="http://schemas.microsoft.com/office/spreadsheetml/2009/9/main" uri="{B025F937-C7B1-47D3-B67F-A62EFF666E3E}">
          <x14:id>{F8050E3B-2942-49D1-BF3F-0DEC6E514068}</x14:id>
        </ext>
      </extLst>
    </cfRule>
  </conditionalFormatting>
  <conditionalFormatting sqref="AC238:AC251 AC254:AC255 AC259:AC263">
    <cfRule type="dataBar" priority="241">
      <dataBar>
        <cfvo type="min"/>
        <cfvo type="max"/>
        <color rgb="FF638EC6"/>
      </dataBar>
      <extLst>
        <ext xmlns:x14="http://schemas.microsoft.com/office/spreadsheetml/2009/9/main" uri="{B025F937-C7B1-47D3-B67F-A62EFF666E3E}">
          <x14:id>{19E84DF4-D8E8-4E33-962A-32C360492654}</x14:id>
        </ext>
      </extLst>
    </cfRule>
  </conditionalFormatting>
  <conditionalFormatting sqref="AC54:AC67 AC70:AC71 AC75:AC79">
    <cfRule type="dataBar" priority="240">
      <dataBar>
        <cfvo type="min"/>
        <cfvo type="max"/>
        <color rgb="FF638EC6"/>
      </dataBar>
      <extLst>
        <ext xmlns:x14="http://schemas.microsoft.com/office/spreadsheetml/2009/9/main" uri="{B025F937-C7B1-47D3-B67F-A62EFF666E3E}">
          <x14:id>{9EEE15B7-6313-4EB6-B55A-842B4FF9F8D1}</x14:id>
        </ext>
      </extLst>
    </cfRule>
  </conditionalFormatting>
  <conditionalFormatting sqref="D3:I3">
    <cfRule type="cellIs" dxfId="161" priority="215" operator="lessThan">
      <formula>0</formula>
    </cfRule>
  </conditionalFormatting>
  <conditionalFormatting sqref="C3">
    <cfRule type="cellIs" dxfId="160" priority="214" operator="lessThan">
      <formula>0</formula>
    </cfRule>
  </conditionalFormatting>
  <conditionalFormatting sqref="S3:X3">
    <cfRule type="cellIs" dxfId="159" priority="213" operator="lessThan">
      <formula>0</formula>
    </cfRule>
  </conditionalFormatting>
  <conditionalFormatting sqref="R3">
    <cfRule type="cellIs" dxfId="158" priority="212" operator="lessThan">
      <formula>0</formula>
    </cfRule>
  </conditionalFormatting>
  <conditionalFormatting sqref="S10:X10">
    <cfRule type="cellIs" dxfId="157" priority="211" operator="lessThan">
      <formula>0</formula>
    </cfRule>
  </conditionalFormatting>
  <conditionalFormatting sqref="R10">
    <cfRule type="cellIs" dxfId="156" priority="210" operator="lessThan">
      <formula>0</formula>
    </cfRule>
  </conditionalFormatting>
  <conditionalFormatting sqref="D10:I10">
    <cfRule type="cellIs" dxfId="155" priority="209" operator="lessThan">
      <formula>0</formula>
    </cfRule>
  </conditionalFormatting>
  <conditionalFormatting sqref="C10">
    <cfRule type="cellIs" dxfId="154" priority="208" operator="lessThan">
      <formula>0</formula>
    </cfRule>
  </conditionalFormatting>
  <conditionalFormatting sqref="H42">
    <cfRule type="containsText" dxfId="153" priority="207" operator="containsText" text="Tarkista">
      <formula>NOT(ISERROR(SEARCH("Tarkista",H42)))</formula>
    </cfRule>
  </conditionalFormatting>
  <conditionalFormatting sqref="C42:I42">
    <cfRule type="cellIs" dxfId="152" priority="206" operator="lessThan">
      <formula>0</formula>
    </cfRule>
  </conditionalFormatting>
  <conditionalFormatting sqref="W42">
    <cfRule type="containsText" dxfId="151" priority="205" operator="containsText" text="Tarkista">
      <formula>NOT(ISERROR(SEARCH("Tarkista",W42)))</formula>
    </cfRule>
  </conditionalFormatting>
  <conditionalFormatting sqref="R42:X42">
    <cfRule type="cellIs" dxfId="150" priority="204" operator="lessThan">
      <formula>0</formula>
    </cfRule>
  </conditionalFormatting>
  <conditionalFormatting sqref="W50">
    <cfRule type="containsText" dxfId="149" priority="203" operator="containsText" text="Tarkista">
      <formula>NOT(ISERROR(SEARCH("Tarkista",W50)))</formula>
    </cfRule>
  </conditionalFormatting>
  <conditionalFormatting sqref="R50:X50">
    <cfRule type="cellIs" dxfId="148" priority="202" operator="lessThan">
      <formula>0</formula>
    </cfRule>
  </conditionalFormatting>
  <conditionalFormatting sqref="H50">
    <cfRule type="containsText" dxfId="147" priority="201" operator="containsText" text="Tarkista">
      <formula>NOT(ISERROR(SEARCH("Tarkista",H50)))</formula>
    </cfRule>
  </conditionalFormatting>
  <conditionalFormatting sqref="C50:I50">
    <cfRule type="cellIs" dxfId="146" priority="200" operator="lessThan">
      <formula>0</formula>
    </cfRule>
  </conditionalFormatting>
  <conditionalFormatting sqref="H88">
    <cfRule type="containsText" dxfId="145" priority="199" operator="containsText" text="Tarkista">
      <formula>NOT(ISERROR(SEARCH("Tarkista",H88)))</formula>
    </cfRule>
  </conditionalFormatting>
  <conditionalFormatting sqref="C88:I88">
    <cfRule type="cellIs" dxfId="144" priority="198" operator="lessThan">
      <formula>0</formula>
    </cfRule>
  </conditionalFormatting>
  <conditionalFormatting sqref="H96">
    <cfRule type="containsText" dxfId="143" priority="197" operator="containsText" text="Tarkista">
      <formula>NOT(ISERROR(SEARCH("Tarkista",H96)))</formula>
    </cfRule>
  </conditionalFormatting>
  <conditionalFormatting sqref="C96:I96">
    <cfRule type="cellIs" dxfId="142" priority="196" operator="lessThan">
      <formula>0</formula>
    </cfRule>
  </conditionalFormatting>
  <conditionalFormatting sqref="W88">
    <cfRule type="containsText" dxfId="141" priority="195" operator="containsText" text="Tarkista">
      <formula>NOT(ISERROR(SEARCH("Tarkista",W88)))</formula>
    </cfRule>
  </conditionalFormatting>
  <conditionalFormatting sqref="R88:X88">
    <cfRule type="cellIs" dxfId="140" priority="194" operator="lessThan">
      <formula>0</formula>
    </cfRule>
  </conditionalFormatting>
  <conditionalFormatting sqref="W96">
    <cfRule type="containsText" dxfId="139" priority="193" operator="containsText" text="Tarkista">
      <formula>NOT(ISERROR(SEARCH("Tarkista",W96)))</formula>
    </cfRule>
  </conditionalFormatting>
  <conditionalFormatting sqref="R96:X96">
    <cfRule type="cellIs" dxfId="138" priority="192" operator="lessThan">
      <formula>0</formula>
    </cfRule>
  </conditionalFormatting>
  <conditionalFormatting sqref="H134">
    <cfRule type="containsText" dxfId="137" priority="191" operator="containsText" text="Tarkista">
      <formula>NOT(ISERROR(SEARCH("Tarkista",H134)))</formula>
    </cfRule>
  </conditionalFormatting>
  <conditionalFormatting sqref="C134:I134">
    <cfRule type="cellIs" dxfId="136" priority="190" operator="lessThan">
      <formula>0</formula>
    </cfRule>
  </conditionalFormatting>
  <conditionalFormatting sqref="W134">
    <cfRule type="containsText" dxfId="135" priority="189" operator="containsText" text="Tarkista">
      <formula>NOT(ISERROR(SEARCH("Tarkista",W134)))</formula>
    </cfRule>
  </conditionalFormatting>
  <conditionalFormatting sqref="R134:X134">
    <cfRule type="cellIs" dxfId="134" priority="188" operator="lessThan">
      <formula>0</formula>
    </cfRule>
  </conditionalFormatting>
  <conditionalFormatting sqref="W142">
    <cfRule type="containsText" dxfId="133" priority="187" operator="containsText" text="Tarkista">
      <formula>NOT(ISERROR(SEARCH("Tarkista",W142)))</formula>
    </cfRule>
  </conditionalFormatting>
  <conditionalFormatting sqref="R142:X142">
    <cfRule type="cellIs" dxfId="132" priority="186" operator="lessThan">
      <formula>0</formula>
    </cfRule>
  </conditionalFormatting>
  <conditionalFormatting sqref="H142">
    <cfRule type="containsText" dxfId="131" priority="185" operator="containsText" text="Tarkista">
      <formula>NOT(ISERROR(SEARCH("Tarkista",H142)))</formula>
    </cfRule>
  </conditionalFormatting>
  <conditionalFormatting sqref="C142:I142">
    <cfRule type="cellIs" dxfId="130" priority="184" operator="lessThan">
      <formula>0</formula>
    </cfRule>
  </conditionalFormatting>
  <conditionalFormatting sqref="H180">
    <cfRule type="containsText" dxfId="129" priority="183" operator="containsText" text="Tarkista">
      <formula>NOT(ISERROR(SEARCH("Tarkista",H180)))</formula>
    </cfRule>
  </conditionalFormatting>
  <conditionalFormatting sqref="C180:I180">
    <cfRule type="cellIs" dxfId="128" priority="182" operator="lessThan">
      <formula>0</formula>
    </cfRule>
  </conditionalFormatting>
  <conditionalFormatting sqref="W180">
    <cfRule type="containsText" dxfId="127" priority="181" operator="containsText" text="Tarkista">
      <formula>NOT(ISERROR(SEARCH("Tarkista",W180)))</formula>
    </cfRule>
  </conditionalFormatting>
  <conditionalFormatting sqref="R180:X180">
    <cfRule type="cellIs" dxfId="126" priority="180" operator="lessThan">
      <formula>0</formula>
    </cfRule>
  </conditionalFormatting>
  <conditionalFormatting sqref="W188">
    <cfRule type="containsText" dxfId="125" priority="179" operator="containsText" text="Tarkista">
      <formula>NOT(ISERROR(SEARCH("Tarkista",W188)))</formula>
    </cfRule>
  </conditionalFormatting>
  <conditionalFormatting sqref="R188:X188">
    <cfRule type="cellIs" dxfId="124" priority="178" operator="lessThan">
      <formula>0</formula>
    </cfRule>
  </conditionalFormatting>
  <conditionalFormatting sqref="H188">
    <cfRule type="containsText" dxfId="123" priority="177" operator="containsText" text="Tarkista">
      <formula>NOT(ISERROR(SEARCH("Tarkista",H188)))</formula>
    </cfRule>
  </conditionalFormatting>
  <conditionalFormatting sqref="C188:I188">
    <cfRule type="cellIs" dxfId="122" priority="176" operator="lessThan">
      <formula>0</formula>
    </cfRule>
  </conditionalFormatting>
  <conditionalFormatting sqref="H226">
    <cfRule type="containsText" dxfId="121" priority="175" operator="containsText" text="Tarkista">
      <formula>NOT(ISERROR(SEARCH("Tarkista",H226)))</formula>
    </cfRule>
  </conditionalFormatting>
  <conditionalFormatting sqref="C226:I226">
    <cfRule type="cellIs" dxfId="120" priority="174" operator="lessThan">
      <formula>0</formula>
    </cfRule>
  </conditionalFormatting>
  <conditionalFormatting sqref="W226">
    <cfRule type="containsText" dxfId="119" priority="173" operator="containsText" text="Tarkista">
      <formula>NOT(ISERROR(SEARCH("Tarkista",W226)))</formula>
    </cfRule>
  </conditionalFormatting>
  <conditionalFormatting sqref="R226:X226">
    <cfRule type="cellIs" dxfId="118" priority="172" operator="lessThan">
      <formula>0</formula>
    </cfRule>
  </conditionalFormatting>
  <conditionalFormatting sqref="W234">
    <cfRule type="containsText" dxfId="117" priority="171" operator="containsText" text="Tarkista">
      <formula>NOT(ISERROR(SEARCH("Tarkista",W234)))</formula>
    </cfRule>
  </conditionalFormatting>
  <conditionalFormatting sqref="R234:X234">
    <cfRule type="cellIs" dxfId="116" priority="170" operator="lessThan">
      <formula>0</formula>
    </cfRule>
  </conditionalFormatting>
  <conditionalFormatting sqref="H234">
    <cfRule type="containsText" dxfId="115" priority="169" operator="containsText" text="Tarkista">
      <formula>NOT(ISERROR(SEARCH("Tarkista",H234)))</formula>
    </cfRule>
  </conditionalFormatting>
  <conditionalFormatting sqref="C234:I234">
    <cfRule type="cellIs" dxfId="114" priority="168" operator="lessThan">
      <formula>0</formula>
    </cfRule>
  </conditionalFormatting>
  <conditionalFormatting sqref="K234:O234">
    <cfRule type="cellIs" dxfId="113" priority="167" operator="lessThan">
      <formula>0</formula>
    </cfRule>
  </conditionalFormatting>
  <conditionalFormatting sqref="Z234:AD234">
    <cfRule type="cellIs" dxfId="112" priority="166" operator="lessThan">
      <formula>0</formula>
    </cfRule>
  </conditionalFormatting>
  <conditionalFormatting sqref="Z188:AD188">
    <cfRule type="cellIs" dxfId="111" priority="165" operator="lessThan">
      <formula>0</formula>
    </cfRule>
  </conditionalFormatting>
  <conditionalFormatting sqref="K188:O188">
    <cfRule type="cellIs" dxfId="110" priority="164" operator="lessThan">
      <formula>0</formula>
    </cfRule>
  </conditionalFormatting>
  <conditionalFormatting sqref="K142:O142">
    <cfRule type="cellIs" dxfId="109" priority="163" operator="lessThan">
      <formula>0</formula>
    </cfRule>
  </conditionalFormatting>
  <conditionalFormatting sqref="Z142:AD142">
    <cfRule type="cellIs" dxfId="108" priority="162" operator="lessThan">
      <formula>0</formula>
    </cfRule>
  </conditionalFormatting>
  <conditionalFormatting sqref="Z96:AD96">
    <cfRule type="cellIs" dxfId="107" priority="161" operator="lessThan">
      <formula>0</formula>
    </cfRule>
  </conditionalFormatting>
  <conditionalFormatting sqref="K96:O96">
    <cfRule type="cellIs" dxfId="106" priority="160" operator="lessThan">
      <formula>0</formula>
    </cfRule>
  </conditionalFormatting>
  <conditionalFormatting sqref="Z50:AD50">
    <cfRule type="cellIs" dxfId="105" priority="159" operator="lessThan">
      <formula>0</formula>
    </cfRule>
  </conditionalFormatting>
  <conditionalFormatting sqref="K50:O50">
    <cfRule type="cellIs" dxfId="104" priority="158" operator="lessThan">
      <formula>0</formula>
    </cfRule>
  </conditionalFormatting>
  <conditionalFormatting sqref="K10:O10">
    <cfRule type="cellIs" dxfId="103" priority="157" operator="lessThan">
      <formula>0</formula>
    </cfRule>
  </conditionalFormatting>
  <conditionalFormatting sqref="Z10:AD10">
    <cfRule type="cellIs" dxfId="102" priority="156" operator="lessThan">
      <formula>0</formula>
    </cfRule>
  </conditionalFormatting>
  <conditionalFormatting sqref="N146:N159">
    <cfRule type="dataBar" priority="155">
      <dataBar>
        <cfvo type="min"/>
        <cfvo type="max"/>
        <color rgb="FF638EC6"/>
      </dataBar>
      <extLst>
        <ext xmlns:x14="http://schemas.microsoft.com/office/spreadsheetml/2009/9/main" uri="{B025F937-C7B1-47D3-B67F-A62EFF666E3E}">
          <x14:id>{F844AE26-B0C2-48C7-8BD4-F80137A1F04F}</x14:id>
        </ext>
      </extLst>
    </cfRule>
  </conditionalFormatting>
  <conditionalFormatting sqref="N146:N159">
    <cfRule type="cellIs" dxfId="101" priority="154" operator="lessThan">
      <formula>0</formula>
    </cfRule>
  </conditionalFormatting>
  <conditionalFormatting sqref="N162:N163">
    <cfRule type="dataBar" priority="143">
      <dataBar>
        <cfvo type="min"/>
        <cfvo type="max"/>
        <color rgb="FF638EC6"/>
      </dataBar>
      <extLst>
        <ext xmlns:x14="http://schemas.microsoft.com/office/spreadsheetml/2009/9/main" uri="{B025F937-C7B1-47D3-B67F-A62EFF666E3E}">
          <x14:id>{876E473E-C87C-433F-AF6C-08ECEF2322DD}</x14:id>
        </ext>
      </extLst>
    </cfRule>
  </conditionalFormatting>
  <conditionalFormatting sqref="N162:N163">
    <cfRule type="cellIs" dxfId="100" priority="142" operator="lessThan">
      <formula>0</formula>
    </cfRule>
  </conditionalFormatting>
  <conditionalFormatting sqref="N167:N171">
    <cfRule type="dataBar" priority="141">
      <dataBar>
        <cfvo type="min"/>
        <cfvo type="max"/>
        <color rgb="FF638EC6"/>
      </dataBar>
      <extLst>
        <ext xmlns:x14="http://schemas.microsoft.com/office/spreadsheetml/2009/9/main" uri="{B025F937-C7B1-47D3-B67F-A62EFF666E3E}">
          <x14:id>{E4630695-400C-4E12-8118-5D040552C4B8}</x14:id>
        </ext>
      </extLst>
    </cfRule>
  </conditionalFormatting>
  <conditionalFormatting sqref="N167:N171">
    <cfRule type="cellIs" dxfId="99" priority="140" operator="lessThan">
      <formula>0</formula>
    </cfRule>
  </conditionalFormatting>
  <conditionalFormatting sqref="AC146:AC159">
    <cfRule type="dataBar" priority="139">
      <dataBar>
        <cfvo type="min"/>
        <cfvo type="max"/>
        <color rgb="FF638EC6"/>
      </dataBar>
      <extLst>
        <ext xmlns:x14="http://schemas.microsoft.com/office/spreadsheetml/2009/9/main" uri="{B025F937-C7B1-47D3-B67F-A62EFF666E3E}">
          <x14:id>{20E4D1C9-5FC8-444D-9989-010951E44170}</x14:id>
        </ext>
      </extLst>
    </cfRule>
  </conditionalFormatting>
  <conditionalFormatting sqref="AC146:AC159">
    <cfRule type="cellIs" dxfId="98" priority="138" operator="lessThan">
      <formula>0</formula>
    </cfRule>
  </conditionalFormatting>
  <conditionalFormatting sqref="AC162:AC163">
    <cfRule type="dataBar" priority="137">
      <dataBar>
        <cfvo type="min"/>
        <cfvo type="max"/>
        <color rgb="FF638EC6"/>
      </dataBar>
      <extLst>
        <ext xmlns:x14="http://schemas.microsoft.com/office/spreadsheetml/2009/9/main" uri="{B025F937-C7B1-47D3-B67F-A62EFF666E3E}">
          <x14:id>{7A1FF524-08EC-4FC8-BD55-0822DABD62D2}</x14:id>
        </ext>
      </extLst>
    </cfRule>
  </conditionalFormatting>
  <conditionalFormatting sqref="AC162:AC163">
    <cfRule type="cellIs" dxfId="97" priority="136" operator="lessThan">
      <formula>0</formula>
    </cfRule>
  </conditionalFormatting>
  <conditionalFormatting sqref="AC167:AC171">
    <cfRule type="dataBar" priority="135">
      <dataBar>
        <cfvo type="min"/>
        <cfvo type="max"/>
        <color rgb="FF638EC6"/>
      </dataBar>
      <extLst>
        <ext xmlns:x14="http://schemas.microsoft.com/office/spreadsheetml/2009/9/main" uri="{B025F937-C7B1-47D3-B67F-A62EFF666E3E}">
          <x14:id>{13418811-5931-4AAB-A889-31FE0BF33870}</x14:id>
        </ext>
      </extLst>
    </cfRule>
  </conditionalFormatting>
  <conditionalFormatting sqref="AC167:AC171">
    <cfRule type="cellIs" dxfId="96" priority="134" operator="lessThan">
      <formula>0</formula>
    </cfRule>
  </conditionalFormatting>
  <conditionalFormatting sqref="AC100:AC113 AC116:AC117 AC121:AC125">
    <cfRule type="dataBar" priority="133">
      <dataBar>
        <cfvo type="min"/>
        <cfvo type="max"/>
        <color rgb="FF638EC6"/>
      </dataBar>
      <extLst>
        <ext xmlns:x14="http://schemas.microsoft.com/office/spreadsheetml/2009/9/main" uri="{B025F937-C7B1-47D3-B67F-A62EFF666E3E}">
          <x14:id>{C1A71395-20BD-4F77-BC7A-3C56F788E59E}</x14:id>
        </ext>
      </extLst>
    </cfRule>
  </conditionalFormatting>
  <conditionalFormatting sqref="O13">
    <cfRule type="top10" dxfId="95" priority="117" percent="1" bottom="1" rank="10"/>
    <cfRule type="top10" dxfId="94" priority="118" percent="1" rank="10"/>
  </conditionalFormatting>
  <conditionalFormatting sqref="O14 O16:O22">
    <cfRule type="top10" dxfId="93" priority="119" percent="1" bottom="1" rank="10"/>
    <cfRule type="top10" dxfId="92" priority="120" percent="1" rank="10"/>
  </conditionalFormatting>
  <conditionalFormatting sqref="O26:O27">
    <cfRule type="top10" dxfId="91" priority="121" percent="1" bottom="1" rank="10"/>
    <cfRule type="top10" dxfId="90" priority="122" percent="1" rank="10"/>
  </conditionalFormatting>
  <conditionalFormatting sqref="O31">
    <cfRule type="top10" dxfId="89" priority="123" percent="1" bottom="1" rank="10"/>
    <cfRule type="top10" dxfId="88" priority="124" percent="1" rank="10"/>
  </conditionalFormatting>
  <conditionalFormatting sqref="O32">
    <cfRule type="top10" dxfId="87" priority="125" percent="1" bottom="1" rank="10"/>
    <cfRule type="top10" dxfId="86" priority="126" percent="1" rank="10"/>
  </conditionalFormatting>
  <conditionalFormatting sqref="O33">
    <cfRule type="top10" dxfId="85" priority="127" percent="1" bottom="1" rank="10"/>
    <cfRule type="top10" dxfId="84" priority="128" percent="1" rank="10"/>
  </conditionalFormatting>
  <conditionalFormatting sqref="O34">
    <cfRule type="top10" dxfId="83" priority="129" percent="1" bottom="1" rank="10"/>
    <cfRule type="top10" dxfId="82" priority="130" percent="1" rank="10"/>
  </conditionalFormatting>
  <conditionalFormatting sqref="O35:O36">
    <cfRule type="top10" dxfId="81" priority="131" percent="1" bottom="1" rank="10"/>
    <cfRule type="top10" dxfId="80" priority="132" percent="1" rank="10"/>
  </conditionalFormatting>
  <conditionalFormatting sqref="AD13">
    <cfRule type="top10" dxfId="79" priority="101" percent="1" bottom="1" rank="10"/>
    <cfRule type="top10" dxfId="78" priority="102" percent="1" rank="10"/>
  </conditionalFormatting>
  <conditionalFormatting sqref="AD14 AD16:AD22">
    <cfRule type="top10" dxfId="77" priority="103" percent="1" bottom="1" rank="10"/>
    <cfRule type="top10" dxfId="76" priority="104" percent="1" rank="10"/>
  </conditionalFormatting>
  <conditionalFormatting sqref="AD26:AD27">
    <cfRule type="top10" dxfId="75" priority="105" percent="1" bottom="1" rank="10"/>
    <cfRule type="top10" dxfId="74" priority="106" percent="1" rank="10"/>
  </conditionalFormatting>
  <conditionalFormatting sqref="AD31">
    <cfRule type="top10" dxfId="73" priority="107" percent="1" bottom="1" rank="10"/>
    <cfRule type="top10" dxfId="72" priority="108" percent="1" rank="10"/>
  </conditionalFormatting>
  <conditionalFormatting sqref="AD32">
    <cfRule type="top10" dxfId="71" priority="109" percent="1" bottom="1" rank="10"/>
    <cfRule type="top10" dxfId="70" priority="110" percent="1" rank="10"/>
  </conditionalFormatting>
  <conditionalFormatting sqref="AD33">
    <cfRule type="top10" dxfId="69" priority="111" percent="1" bottom="1" rank="10"/>
    <cfRule type="top10" dxfId="68" priority="112" percent="1" rank="10"/>
  </conditionalFormatting>
  <conditionalFormatting sqref="AD34">
    <cfRule type="top10" dxfId="67" priority="113" percent="1" bottom="1" rank="10"/>
    <cfRule type="top10" dxfId="66" priority="114" percent="1" rank="10"/>
  </conditionalFormatting>
  <conditionalFormatting sqref="AD35:AD36">
    <cfRule type="top10" dxfId="65" priority="115" percent="1" bottom="1" rank="10"/>
    <cfRule type="top10" dxfId="64" priority="116" percent="1" rank="10"/>
  </conditionalFormatting>
  <conditionalFormatting sqref="O54:O67">
    <cfRule type="top10" dxfId="63" priority="83" percent="1" bottom="1" rank="10"/>
    <cfRule type="top10" dxfId="62" priority="84" percent="1" rank="10"/>
  </conditionalFormatting>
  <conditionalFormatting sqref="O70:O71">
    <cfRule type="top10" dxfId="61" priority="81" percent="1" bottom="1" rank="10"/>
    <cfRule type="top10" dxfId="60" priority="82" percent="1" rank="10"/>
  </conditionalFormatting>
  <conditionalFormatting sqref="O75:O79">
    <cfRule type="top10" dxfId="59" priority="79" percent="1" bottom="1" rank="10"/>
    <cfRule type="top10" dxfId="58" priority="80" percent="1" rank="10"/>
  </conditionalFormatting>
  <conditionalFormatting sqref="AD54:AD67">
    <cfRule type="top10" dxfId="57" priority="77" percent="1" bottom="1" rank="10"/>
    <cfRule type="top10" dxfId="56" priority="78" percent="1" rank="10"/>
  </conditionalFormatting>
  <conditionalFormatting sqref="AD70:AD71">
    <cfRule type="top10" dxfId="55" priority="75" percent="1" bottom="1" rank="10"/>
    <cfRule type="top10" dxfId="54" priority="76" percent="1" rank="10"/>
  </conditionalFormatting>
  <conditionalFormatting sqref="AD75:AD79">
    <cfRule type="top10" dxfId="53" priority="73" percent="1" bottom="1" rank="10"/>
    <cfRule type="top10" dxfId="52" priority="74" percent="1" rank="10"/>
  </conditionalFormatting>
  <conditionalFormatting sqref="O100:O113">
    <cfRule type="top10" dxfId="51" priority="65" percent="1" bottom="1" rank="10"/>
    <cfRule type="top10" dxfId="50" priority="66" percent="1" rank="10"/>
  </conditionalFormatting>
  <conditionalFormatting sqref="O116:O117">
    <cfRule type="top10" dxfId="49" priority="63" percent="1" bottom="1" rank="10"/>
    <cfRule type="top10" dxfId="48" priority="64" percent="1" rank="10"/>
  </conditionalFormatting>
  <conditionalFormatting sqref="O121:O125">
    <cfRule type="top10" dxfId="47" priority="61" percent="1" bottom="1" rank="10"/>
    <cfRule type="top10" dxfId="46" priority="62" percent="1" rank="10"/>
  </conditionalFormatting>
  <conditionalFormatting sqref="AD100:AD113">
    <cfRule type="top10" dxfId="45" priority="59" percent="1" bottom="1" rank="10"/>
    <cfRule type="top10" dxfId="44" priority="60" percent="1" rank="10"/>
  </conditionalFormatting>
  <conditionalFormatting sqref="AD116:AD117">
    <cfRule type="top10" dxfId="43" priority="57" percent="1" bottom="1" rank="10"/>
    <cfRule type="top10" dxfId="42" priority="58" percent="1" rank="10"/>
  </conditionalFormatting>
  <conditionalFormatting sqref="AD121:AD125">
    <cfRule type="top10" dxfId="41" priority="55" percent="1" bottom="1" rank="10"/>
    <cfRule type="top10" dxfId="40" priority="56" percent="1" rank="10"/>
  </conditionalFormatting>
  <conditionalFormatting sqref="O146:O159">
    <cfRule type="top10" dxfId="39" priority="47" percent="1" bottom="1" rank="10"/>
    <cfRule type="top10" dxfId="38" priority="48" percent="1" rank="10"/>
  </conditionalFormatting>
  <conditionalFormatting sqref="O162:O163">
    <cfRule type="top10" dxfId="37" priority="45" percent="1" bottom="1" rank="10"/>
    <cfRule type="top10" dxfId="36" priority="46" percent="1" rank="10"/>
  </conditionalFormatting>
  <conditionalFormatting sqref="O167:O171">
    <cfRule type="top10" dxfId="35" priority="43" percent="1" bottom="1" rank="10"/>
    <cfRule type="top10" dxfId="34" priority="44" percent="1" rank="10"/>
  </conditionalFormatting>
  <conditionalFormatting sqref="AD146:AD159">
    <cfRule type="top10" dxfId="33" priority="41" percent="1" bottom="1" rank="10"/>
    <cfRule type="top10" dxfId="32" priority="42" percent="1" rank="10"/>
  </conditionalFormatting>
  <conditionalFormatting sqref="AD162:AD163">
    <cfRule type="top10" dxfId="31" priority="39" percent="1" bottom="1" rank="10"/>
    <cfRule type="top10" dxfId="30" priority="40" percent="1" rank="10"/>
  </conditionalFormatting>
  <conditionalFormatting sqref="AD167:AD171">
    <cfRule type="top10" dxfId="29" priority="37" percent="1" bottom="1" rank="10"/>
    <cfRule type="top10" dxfId="28" priority="38" percent="1" rank="10"/>
  </conditionalFormatting>
  <conditionalFormatting sqref="O192:O205">
    <cfRule type="top10" dxfId="27" priority="29" percent="1" bottom="1" rank="10"/>
    <cfRule type="top10" dxfId="26" priority="30" percent="1" rank="10"/>
  </conditionalFormatting>
  <conditionalFormatting sqref="O208:O209">
    <cfRule type="top10" dxfId="25" priority="27" percent="1" bottom="1" rank="10"/>
    <cfRule type="top10" dxfId="24" priority="28" percent="1" rank="10"/>
  </conditionalFormatting>
  <conditionalFormatting sqref="O213:O217">
    <cfRule type="top10" dxfId="23" priority="25" percent="1" bottom="1" rank="10"/>
    <cfRule type="top10" dxfId="22" priority="26" percent="1" rank="10"/>
  </conditionalFormatting>
  <conditionalFormatting sqref="AD192:AD205">
    <cfRule type="top10" dxfId="21" priority="23" percent="1" bottom="1" rank="10"/>
    <cfRule type="top10" dxfId="20" priority="24" percent="1" rank="10"/>
  </conditionalFormatting>
  <conditionalFormatting sqref="AD208:AD209">
    <cfRule type="top10" dxfId="19" priority="21" percent="1" bottom="1" rank="10"/>
    <cfRule type="top10" dxfId="18" priority="22" percent="1" rank="10"/>
  </conditionalFormatting>
  <conditionalFormatting sqref="AD213:AD217">
    <cfRule type="top10" dxfId="17" priority="19" percent="1" bottom="1" rank="10"/>
    <cfRule type="top10" dxfId="16" priority="20" percent="1" rank="10"/>
  </conditionalFormatting>
  <conditionalFormatting sqref="O238:O251">
    <cfRule type="top10" dxfId="15" priority="11" percent="1" bottom="1" rank="10"/>
    <cfRule type="top10" dxfId="14" priority="12" percent="1" rank="10"/>
  </conditionalFormatting>
  <conditionalFormatting sqref="O254:O255">
    <cfRule type="top10" dxfId="13" priority="9" percent="1" bottom="1" rank="10"/>
    <cfRule type="top10" dxfId="12" priority="10" percent="1" rank="10"/>
  </conditionalFormatting>
  <conditionalFormatting sqref="O259:O263">
    <cfRule type="top10" dxfId="11" priority="7" percent="1" bottom="1" rank="10"/>
    <cfRule type="top10" dxfId="10" priority="8" percent="1" rank="10"/>
  </conditionalFormatting>
  <conditionalFormatting sqref="AD238:AD251">
    <cfRule type="top10" dxfId="9" priority="5" percent="1" bottom="1" rank="10"/>
    <cfRule type="top10" dxfId="8" priority="6" percent="1" rank="10"/>
  </conditionalFormatting>
  <conditionalFormatting sqref="AD254:AD255">
    <cfRule type="top10" dxfId="7" priority="3" percent="1" bottom="1" rank="10"/>
    <cfRule type="top10" dxfId="6" priority="4" percent="1" rank="10"/>
  </conditionalFormatting>
  <conditionalFormatting sqref="AD259:AD263">
    <cfRule type="top10" dxfId="5" priority="1" percent="1" bottom="1" rank="10"/>
    <cfRule type="top10" dxfId="4" priority="2" percent="1" rank="10"/>
  </conditionalFormatting>
  <pageMargins left="0.25" right="0.25" top="0.75" bottom="0.75" header="0.3" footer="0.3"/>
  <pageSetup paperSize="9" scale="34" fitToHeight="0" orientation="landscape" horizontalDpi="4294967295" verticalDpi="4294967295" r:id="rId1"/>
  <drawing r:id="rId2"/>
  <legacyDrawing r:id="rId3"/>
  <extLst>
    <ext xmlns:x14="http://schemas.microsoft.com/office/spreadsheetml/2009/9/main" uri="{78C0D931-6437-407d-A8EE-F0AAD7539E65}">
      <x14:conditionalFormattings>
        <x14:conditionalFormatting xmlns:xm="http://schemas.microsoft.com/office/excel/2006/main">
          <x14:cfRule type="dataBar" id="{4EB3D27F-9D25-4571-A52F-D617D27E143C}">
            <x14:dataBar minLength="0" maxLength="100" border="1" negativeBarBorderColorSameAsPositive="0">
              <x14:cfvo type="autoMin"/>
              <x14:cfvo type="autoMax"/>
              <x14:borderColor rgb="FF638EC6"/>
              <x14:negativeFillColor rgb="FFFF0000"/>
              <x14:negativeBorderColor rgb="FFFF0000"/>
              <x14:axisColor rgb="FF000000"/>
            </x14:dataBar>
          </x14:cfRule>
          <xm:sqref>N13:N22 N26:N27 N31:N36</xm:sqref>
        </x14:conditionalFormatting>
        <x14:conditionalFormatting xmlns:xm="http://schemas.microsoft.com/office/excel/2006/main">
          <x14:cfRule type="dataBar" id="{7235E242-3E88-4C2A-88A0-551D165528B0}">
            <x14:dataBar minLength="0" maxLength="100" border="1" negativeBarBorderColorSameAsPositive="0">
              <x14:cfvo type="autoMin"/>
              <x14:cfvo type="autoMax"/>
              <x14:borderColor rgb="FF638EC6"/>
              <x14:negativeFillColor rgb="FFFF0000"/>
              <x14:negativeBorderColor rgb="FFFF0000"/>
              <x14:axisColor rgb="FF000000"/>
            </x14:dataBar>
          </x14:cfRule>
          <xm:sqref>AC13:AC22 AC26:AC27 AC31:AC36</xm:sqref>
        </x14:conditionalFormatting>
        <x14:conditionalFormatting xmlns:xm="http://schemas.microsoft.com/office/excel/2006/main">
          <x14:cfRule type="dataBar" id="{980A125D-5416-4545-9B27-627F6A7D193E}">
            <x14:dataBar minLength="0" maxLength="100" border="1" negativeBarBorderColorSameAsPositive="0">
              <x14:cfvo type="autoMin"/>
              <x14:cfvo type="autoMax"/>
              <x14:borderColor rgb="FF638EC6"/>
              <x14:negativeFillColor rgb="FFFF0000"/>
              <x14:negativeBorderColor rgb="FFFF0000"/>
              <x14:axisColor rgb="FF000000"/>
            </x14:dataBar>
          </x14:cfRule>
          <xm:sqref>N54:N67 N70:N71 N75:N79</xm:sqref>
        </x14:conditionalFormatting>
        <x14:conditionalFormatting xmlns:xm="http://schemas.microsoft.com/office/excel/2006/main">
          <x14:cfRule type="dataBar" id="{D84640BE-3CCA-4846-8467-E7AD20DCCBBA}">
            <x14:dataBar minLength="0" maxLength="100" border="1" negativeBarBorderColorSameAsPositive="0">
              <x14:cfvo type="autoMin"/>
              <x14:cfvo type="autoMax"/>
              <x14:borderColor rgb="FF638EC6"/>
              <x14:negativeFillColor rgb="FFFF0000"/>
              <x14:negativeBorderColor rgb="FFFF0000"/>
              <x14:axisColor rgb="FF000000"/>
            </x14:dataBar>
          </x14:cfRule>
          <xm:sqref>N100:N113 N116:N117 N121:N125</xm:sqref>
        </x14:conditionalFormatting>
        <x14:conditionalFormatting xmlns:xm="http://schemas.microsoft.com/office/excel/2006/main">
          <x14:cfRule type="dataBar" id="{13B4E21B-7D08-4FCD-9D49-8599999F2721}">
            <x14:dataBar minLength="0" maxLength="100" border="1" negativeBarBorderColorSameAsPositive="0">
              <x14:cfvo type="autoMin"/>
              <x14:cfvo type="autoMax"/>
              <x14:borderColor rgb="FF638EC6"/>
              <x14:negativeFillColor rgb="FFFF0000"/>
              <x14:negativeBorderColor rgb="FFFF0000"/>
              <x14:axisColor rgb="FF000000"/>
            </x14:dataBar>
          </x14:cfRule>
          <xm:sqref>N192:N205 N208:N209 N213:N217</xm:sqref>
        </x14:conditionalFormatting>
        <x14:conditionalFormatting xmlns:xm="http://schemas.microsoft.com/office/excel/2006/main">
          <x14:cfRule type="dataBar" id="{5D5EA286-A6D8-4521-8310-35D6291BFF1F}">
            <x14:dataBar minLength="0" maxLength="100" border="1" negativeBarBorderColorSameAsPositive="0">
              <x14:cfvo type="autoMin"/>
              <x14:cfvo type="autoMax"/>
              <x14:borderColor rgb="FF638EC6"/>
              <x14:negativeFillColor rgb="FFFF0000"/>
              <x14:negativeBorderColor rgb="FFFF0000"/>
              <x14:axisColor rgb="FF000000"/>
            </x14:dataBar>
          </x14:cfRule>
          <xm:sqref>N238:N251 N254:N255 N259:N263</xm:sqref>
        </x14:conditionalFormatting>
        <x14:conditionalFormatting xmlns:xm="http://schemas.microsoft.com/office/excel/2006/main">
          <x14:cfRule type="dataBar" id="{F8050E3B-2942-49D1-BF3F-0DEC6E514068}">
            <x14:dataBar minLength="0" maxLength="100" border="1" negativeBarBorderColorSameAsPositive="0">
              <x14:cfvo type="autoMin"/>
              <x14:cfvo type="autoMax"/>
              <x14:borderColor rgb="FF638EC6"/>
              <x14:negativeFillColor rgb="FFFF0000"/>
              <x14:negativeBorderColor rgb="FFFF0000"/>
              <x14:axisColor rgb="FF000000"/>
            </x14:dataBar>
          </x14:cfRule>
          <xm:sqref>AC192:AC205 AC208:AC209 AC213:AC217</xm:sqref>
        </x14:conditionalFormatting>
        <x14:conditionalFormatting xmlns:xm="http://schemas.microsoft.com/office/excel/2006/main">
          <x14:cfRule type="dataBar" id="{19E84DF4-D8E8-4E33-962A-32C360492654}">
            <x14:dataBar minLength="0" maxLength="100" border="1" negativeBarBorderColorSameAsPositive="0">
              <x14:cfvo type="autoMin"/>
              <x14:cfvo type="autoMax"/>
              <x14:borderColor rgb="FF638EC6"/>
              <x14:negativeFillColor rgb="FFFF0000"/>
              <x14:negativeBorderColor rgb="FFFF0000"/>
              <x14:axisColor rgb="FF000000"/>
            </x14:dataBar>
          </x14:cfRule>
          <xm:sqref>AC238:AC251 AC254:AC255 AC259:AC263</xm:sqref>
        </x14:conditionalFormatting>
        <x14:conditionalFormatting xmlns:xm="http://schemas.microsoft.com/office/excel/2006/main">
          <x14:cfRule type="dataBar" id="{9EEE15B7-6313-4EB6-B55A-842B4FF9F8D1}">
            <x14:dataBar minLength="0" maxLength="100" border="1" negativeBarBorderColorSameAsPositive="0">
              <x14:cfvo type="autoMin"/>
              <x14:cfvo type="autoMax"/>
              <x14:borderColor rgb="FF638EC6"/>
              <x14:negativeFillColor rgb="FFFF0000"/>
              <x14:negativeBorderColor rgb="FFFF0000"/>
              <x14:axisColor rgb="FF000000"/>
            </x14:dataBar>
          </x14:cfRule>
          <xm:sqref>AC54:AC67 AC70:AC71 AC75:AC79</xm:sqref>
        </x14:conditionalFormatting>
        <x14:conditionalFormatting xmlns:xm="http://schemas.microsoft.com/office/excel/2006/main">
          <x14:cfRule type="dataBar" id="{F844AE26-B0C2-48C7-8BD4-F80137A1F04F}">
            <x14:dataBar minLength="0" maxLength="100" border="1" negativeBarBorderColorSameAsPositive="0">
              <x14:cfvo type="autoMin"/>
              <x14:cfvo type="autoMax"/>
              <x14:borderColor rgb="FF638EC6"/>
              <x14:negativeFillColor rgb="FFFF0000"/>
              <x14:negativeBorderColor rgb="FFFF0000"/>
              <x14:axisColor rgb="FF000000"/>
            </x14:dataBar>
          </x14:cfRule>
          <xm:sqref>N146:N159</xm:sqref>
        </x14:conditionalFormatting>
        <x14:conditionalFormatting xmlns:xm="http://schemas.microsoft.com/office/excel/2006/main">
          <x14:cfRule type="dataBar" id="{876E473E-C87C-433F-AF6C-08ECEF2322DD}">
            <x14:dataBar minLength="0" maxLength="100" border="1" negativeBarBorderColorSameAsPositive="0">
              <x14:cfvo type="autoMin"/>
              <x14:cfvo type="autoMax"/>
              <x14:borderColor rgb="FF638EC6"/>
              <x14:negativeFillColor rgb="FFFF0000"/>
              <x14:negativeBorderColor rgb="FFFF0000"/>
              <x14:axisColor rgb="FF000000"/>
            </x14:dataBar>
          </x14:cfRule>
          <xm:sqref>N162:N163</xm:sqref>
        </x14:conditionalFormatting>
        <x14:conditionalFormatting xmlns:xm="http://schemas.microsoft.com/office/excel/2006/main">
          <x14:cfRule type="dataBar" id="{E4630695-400C-4E12-8118-5D040552C4B8}">
            <x14:dataBar minLength="0" maxLength="100" border="1" negativeBarBorderColorSameAsPositive="0">
              <x14:cfvo type="autoMin"/>
              <x14:cfvo type="autoMax"/>
              <x14:borderColor rgb="FF638EC6"/>
              <x14:negativeFillColor rgb="FFFF0000"/>
              <x14:negativeBorderColor rgb="FFFF0000"/>
              <x14:axisColor rgb="FF000000"/>
            </x14:dataBar>
          </x14:cfRule>
          <xm:sqref>N167:N171</xm:sqref>
        </x14:conditionalFormatting>
        <x14:conditionalFormatting xmlns:xm="http://schemas.microsoft.com/office/excel/2006/main">
          <x14:cfRule type="dataBar" id="{20E4D1C9-5FC8-444D-9989-010951E44170}">
            <x14:dataBar minLength="0" maxLength="100" border="1" negativeBarBorderColorSameAsPositive="0">
              <x14:cfvo type="autoMin"/>
              <x14:cfvo type="autoMax"/>
              <x14:borderColor rgb="FF638EC6"/>
              <x14:negativeFillColor rgb="FFFF0000"/>
              <x14:negativeBorderColor rgb="FFFF0000"/>
              <x14:axisColor rgb="FF000000"/>
            </x14:dataBar>
          </x14:cfRule>
          <xm:sqref>AC146:AC159</xm:sqref>
        </x14:conditionalFormatting>
        <x14:conditionalFormatting xmlns:xm="http://schemas.microsoft.com/office/excel/2006/main">
          <x14:cfRule type="dataBar" id="{7A1FF524-08EC-4FC8-BD55-0822DABD62D2}">
            <x14:dataBar minLength="0" maxLength="100" border="1" negativeBarBorderColorSameAsPositive="0">
              <x14:cfvo type="autoMin"/>
              <x14:cfvo type="autoMax"/>
              <x14:borderColor rgb="FF638EC6"/>
              <x14:negativeFillColor rgb="FFFF0000"/>
              <x14:negativeBorderColor rgb="FFFF0000"/>
              <x14:axisColor rgb="FF000000"/>
            </x14:dataBar>
          </x14:cfRule>
          <xm:sqref>AC162:AC163</xm:sqref>
        </x14:conditionalFormatting>
        <x14:conditionalFormatting xmlns:xm="http://schemas.microsoft.com/office/excel/2006/main">
          <x14:cfRule type="dataBar" id="{13418811-5931-4AAB-A889-31FE0BF33870}">
            <x14:dataBar minLength="0" maxLength="100" border="1" negativeBarBorderColorSameAsPositive="0">
              <x14:cfvo type="autoMin"/>
              <x14:cfvo type="autoMax"/>
              <x14:borderColor rgb="FF638EC6"/>
              <x14:negativeFillColor rgb="FFFF0000"/>
              <x14:negativeBorderColor rgb="FFFF0000"/>
              <x14:axisColor rgb="FF000000"/>
            </x14:dataBar>
          </x14:cfRule>
          <xm:sqref>AC167:AC171</xm:sqref>
        </x14:conditionalFormatting>
        <x14:conditionalFormatting xmlns:xm="http://schemas.microsoft.com/office/excel/2006/main">
          <x14:cfRule type="dataBar" id="{C1A71395-20BD-4F77-BC7A-3C56F788E59E}">
            <x14:dataBar minLength="0" maxLength="100" border="1" negativeBarBorderColorSameAsPositive="0">
              <x14:cfvo type="autoMin"/>
              <x14:cfvo type="autoMax"/>
              <x14:borderColor rgb="FF638EC6"/>
              <x14:negativeFillColor rgb="FFFF0000"/>
              <x14:negativeBorderColor rgb="FFFF0000"/>
              <x14:axisColor rgb="FF000000"/>
            </x14:dataBar>
          </x14:cfRule>
          <xm:sqref>AC100:AC113 AC116:AC117 AC121:AC125</xm:sqref>
        </x14:conditionalFormatting>
      </x14:conditionalFormattings>
    </ext>
  </extLs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Taul8"/>
  <dimension ref="A1:AF122"/>
  <sheetViews>
    <sheetView workbookViewId="0">
      <pane ySplit="17" topLeftCell="A18" activePane="bottomLeft" state="frozen"/>
      <selection activeCell="E1" sqref="E1"/>
      <selection pane="bottomLeft" activeCell="D1" sqref="D1"/>
    </sheetView>
  </sheetViews>
  <sheetFormatPr defaultColWidth="8.81640625" defaultRowHeight="14.5" x14ac:dyDescent="0.35"/>
  <cols>
    <col min="1" max="1" width="2.6328125" customWidth="1"/>
    <col min="2" max="2" width="11.81640625" customWidth="1"/>
    <col min="3" max="3" width="31.6328125" bestFit="1" customWidth="1"/>
    <col min="4" max="4" width="11.36328125" customWidth="1"/>
    <col min="5" max="6" width="9.453125" bestFit="1" customWidth="1"/>
    <col min="8" max="8" width="10.453125" customWidth="1"/>
    <col min="9" max="9" width="11.453125" customWidth="1"/>
    <col min="10" max="10" width="10.6328125" customWidth="1"/>
    <col min="13" max="13" width="10.6328125" customWidth="1"/>
  </cols>
  <sheetData>
    <row r="1" spans="1:32" s="414" customFormat="1" ht="27" customHeight="1" x14ac:dyDescent="0.35">
      <c r="A1" s="408"/>
      <c r="B1" s="408"/>
      <c r="C1" s="408"/>
      <c r="D1" s="409" t="s">
        <v>414</v>
      </c>
      <c r="E1" s="408"/>
      <c r="F1" s="408"/>
      <c r="G1" s="408"/>
      <c r="H1" s="408"/>
      <c r="I1" s="408"/>
      <c r="J1" s="408"/>
      <c r="M1" s="408"/>
      <c r="N1" s="408" t="s">
        <v>692</v>
      </c>
      <c r="O1" s="408"/>
      <c r="P1" s="408"/>
      <c r="Q1" s="408"/>
      <c r="R1" s="408"/>
      <c r="S1" s="408"/>
      <c r="T1" s="408"/>
      <c r="U1" s="408"/>
      <c r="V1" s="408"/>
      <c r="W1" s="408"/>
      <c r="X1" s="408"/>
      <c r="Y1" s="408"/>
      <c r="Z1" s="408"/>
      <c r="AA1" s="408"/>
    </row>
    <row r="2" spans="1:32" s="13" customFormat="1" x14ac:dyDescent="0.35">
      <c r="A2" s="3"/>
      <c r="B2" s="4"/>
      <c r="C2" s="1"/>
      <c r="D2" s="1"/>
      <c r="E2" s="1"/>
      <c r="F2" s="1"/>
      <c r="G2" s="1"/>
      <c r="H2" s="1"/>
      <c r="I2" s="1"/>
      <c r="J2" s="1"/>
      <c r="K2" s="1"/>
      <c r="L2" s="1"/>
      <c r="M2" s="1"/>
      <c r="N2" s="1"/>
      <c r="O2" s="1"/>
      <c r="P2" s="1"/>
      <c r="Q2" s="1"/>
      <c r="R2" s="1"/>
      <c r="S2" s="1"/>
      <c r="T2" s="1"/>
      <c r="U2" s="1"/>
      <c r="V2" s="1"/>
      <c r="W2" s="1"/>
      <c r="X2" s="1"/>
      <c r="Y2" s="1"/>
      <c r="Z2" s="1"/>
      <c r="AA2" s="1"/>
    </row>
    <row r="3" spans="1:32" x14ac:dyDescent="0.35">
      <c r="A3" s="12"/>
      <c r="B3" s="12"/>
      <c r="C3" s="12"/>
      <c r="D3" s="12"/>
      <c r="E3" s="12"/>
      <c r="F3" s="12"/>
      <c r="G3" s="12"/>
      <c r="H3" s="12"/>
      <c r="I3" s="12"/>
      <c r="J3" s="12"/>
      <c r="K3" s="12"/>
      <c r="L3" s="12"/>
      <c r="M3" s="12"/>
      <c r="N3" s="12"/>
      <c r="O3" s="12"/>
      <c r="P3" s="12"/>
      <c r="Q3" s="12"/>
      <c r="R3" s="12"/>
      <c r="S3" s="12"/>
      <c r="T3" s="12"/>
      <c r="U3" s="12"/>
      <c r="V3" s="12"/>
      <c r="W3" s="12"/>
      <c r="X3" s="12"/>
      <c r="Y3" s="12"/>
      <c r="Z3" s="12"/>
      <c r="AA3" s="12"/>
      <c r="AB3" s="12"/>
      <c r="AC3" s="12"/>
      <c r="AD3" s="12"/>
      <c r="AE3" s="12"/>
      <c r="AF3" s="12"/>
    </row>
    <row r="4" spans="1:32" x14ac:dyDescent="0.35">
      <c r="A4" s="12"/>
      <c r="B4" s="12"/>
      <c r="C4" s="252" t="s">
        <v>112</v>
      </c>
      <c r="D4" s="324">
        <f>Energiantarve!F5</f>
        <v>6000</v>
      </c>
      <c r="E4" s="12" t="s">
        <v>19</v>
      </c>
      <c r="F4" s="12"/>
      <c r="G4" s="12"/>
      <c r="H4" s="332"/>
      <c r="I4" s="12"/>
      <c r="J4" s="12"/>
      <c r="K4" s="12"/>
      <c r="L4" s="12"/>
      <c r="M4" s="12"/>
      <c r="N4" s="12"/>
      <c r="O4" s="12"/>
      <c r="P4" s="12"/>
      <c r="Q4" s="12"/>
      <c r="R4" s="12"/>
      <c r="S4" s="12"/>
      <c r="T4" s="12"/>
      <c r="U4" s="12"/>
      <c r="V4" s="12"/>
      <c r="W4" s="12"/>
      <c r="X4" s="12"/>
      <c r="Y4" s="12"/>
      <c r="Z4" s="12"/>
      <c r="AA4" s="12"/>
      <c r="AB4" s="12"/>
      <c r="AC4" s="12"/>
      <c r="AD4" s="12"/>
      <c r="AE4" s="12"/>
      <c r="AF4" s="12"/>
    </row>
    <row r="5" spans="1:32" x14ac:dyDescent="0.35">
      <c r="A5" s="12"/>
      <c r="B5" s="12"/>
      <c r="C5" s="252" t="s">
        <v>113</v>
      </c>
      <c r="D5" s="325">
        <f>Energiantarve!F8</f>
        <v>4.3499999999999996</v>
      </c>
      <c r="E5" s="12"/>
      <c r="F5" s="12"/>
      <c r="G5" s="12"/>
      <c r="H5" s="12"/>
      <c r="I5" s="12"/>
      <c r="J5" s="12"/>
      <c r="K5" s="12"/>
      <c r="L5" s="12"/>
      <c r="M5" s="12"/>
      <c r="N5" s="12"/>
      <c r="O5" s="12"/>
      <c r="P5" s="12"/>
      <c r="Q5" s="12"/>
      <c r="R5" s="12"/>
      <c r="S5" s="12"/>
      <c r="T5" s="12"/>
      <c r="U5" s="12"/>
      <c r="V5" s="12"/>
      <c r="W5" s="12"/>
      <c r="X5" s="12"/>
      <c r="Y5" s="12"/>
      <c r="Z5" s="12"/>
      <c r="AA5" s="12"/>
      <c r="AB5" s="12"/>
      <c r="AC5" s="12"/>
      <c r="AD5" s="12"/>
      <c r="AE5" s="12"/>
      <c r="AF5" s="12"/>
    </row>
    <row r="6" spans="1:32" x14ac:dyDescent="0.35">
      <c r="A6" s="12"/>
      <c r="B6" s="12"/>
      <c r="C6" s="252" t="s">
        <v>114</v>
      </c>
      <c r="D6" s="325">
        <f>Energiantarve!E8</f>
        <v>3.49</v>
      </c>
      <c r="E6" s="12"/>
      <c r="F6" s="12"/>
      <c r="G6" s="12"/>
      <c r="H6" s="12" t="s">
        <v>115</v>
      </c>
      <c r="I6" s="12"/>
      <c r="J6" s="12"/>
      <c r="K6" s="12"/>
      <c r="L6" s="12"/>
      <c r="M6" s="12"/>
      <c r="N6" s="12"/>
      <c r="O6" s="12"/>
      <c r="P6" s="12"/>
      <c r="Q6" s="12"/>
      <c r="R6" s="12"/>
      <c r="S6" s="12"/>
      <c r="T6" s="12"/>
      <c r="U6" s="12"/>
      <c r="V6" s="12"/>
      <c r="W6" s="12"/>
      <c r="X6" s="12"/>
      <c r="Y6" s="12"/>
      <c r="Z6" s="12"/>
      <c r="AA6" s="12"/>
      <c r="AB6" s="12"/>
      <c r="AC6" s="12"/>
      <c r="AD6" s="12"/>
      <c r="AE6" s="12"/>
      <c r="AF6" s="12"/>
    </row>
    <row r="7" spans="1:32" ht="15" thickBot="1" x14ac:dyDescent="0.4">
      <c r="A7" s="12"/>
      <c r="B7" s="12"/>
      <c r="C7" s="329" t="s">
        <v>116</v>
      </c>
      <c r="D7" s="324">
        <f>Energiantarve!L5</f>
        <v>750</v>
      </c>
      <c r="E7" s="12" t="s">
        <v>80</v>
      </c>
      <c r="F7" s="12"/>
      <c r="G7" s="12"/>
      <c r="H7" s="12"/>
      <c r="I7" s="12"/>
      <c r="J7" s="12"/>
      <c r="K7" s="12"/>
      <c r="L7" s="12"/>
      <c r="M7" s="12"/>
      <c r="N7" s="12"/>
      <c r="O7" s="12"/>
      <c r="P7" s="12"/>
      <c r="Q7" s="12"/>
      <c r="R7" s="12"/>
      <c r="S7" s="12"/>
      <c r="T7" s="12"/>
      <c r="U7" s="12"/>
      <c r="V7" s="12"/>
      <c r="W7" s="12"/>
      <c r="X7" s="12"/>
      <c r="Y7" s="12"/>
      <c r="Z7" s="12"/>
      <c r="AA7" s="12"/>
      <c r="AB7" s="12"/>
      <c r="AC7" s="12"/>
      <c r="AD7" s="12"/>
      <c r="AE7" s="12"/>
      <c r="AF7" s="12"/>
    </row>
    <row r="8" spans="1:32" x14ac:dyDescent="0.35">
      <c r="A8" s="12"/>
      <c r="B8" s="12"/>
      <c r="C8" s="252" t="s">
        <v>117</v>
      </c>
      <c r="D8" s="324">
        <f>Energiantarve!G8</f>
        <v>700</v>
      </c>
      <c r="E8" s="12"/>
      <c r="F8" s="12"/>
      <c r="G8" s="12"/>
      <c r="H8" s="333"/>
      <c r="I8" s="334" t="s">
        <v>118</v>
      </c>
      <c r="J8" s="334" t="s">
        <v>119</v>
      </c>
      <c r="K8" s="334" t="s">
        <v>93</v>
      </c>
      <c r="L8" s="25" t="s">
        <v>120</v>
      </c>
      <c r="M8" s="26"/>
      <c r="N8" s="12"/>
      <c r="O8" s="12"/>
      <c r="P8" s="12"/>
      <c r="Q8" s="12"/>
      <c r="R8" s="12"/>
      <c r="S8" s="12"/>
      <c r="T8" s="12"/>
      <c r="U8" s="12"/>
      <c r="V8" s="12"/>
      <c r="W8" s="12"/>
      <c r="X8" s="12"/>
      <c r="Y8" s="12"/>
      <c r="Z8" s="12"/>
      <c r="AA8" s="12"/>
      <c r="AB8" s="12"/>
      <c r="AC8" s="12"/>
      <c r="AD8" s="12"/>
      <c r="AE8" s="12"/>
      <c r="AF8" s="12"/>
    </row>
    <row r="9" spans="1:32" x14ac:dyDescent="0.35">
      <c r="A9" s="12"/>
      <c r="B9" s="12"/>
      <c r="C9" s="252" t="s">
        <v>121</v>
      </c>
      <c r="D9" s="326">
        <f>Energiantarve!H8</f>
        <v>150</v>
      </c>
      <c r="E9" s="12" t="s">
        <v>122</v>
      </c>
      <c r="F9" s="12"/>
      <c r="G9" s="12"/>
      <c r="H9" s="335" t="s">
        <v>123</v>
      </c>
      <c r="I9" s="336">
        <f>D42</f>
        <v>102671.1166235219</v>
      </c>
      <c r="J9" s="337">
        <f>D64</f>
        <v>7609.5759382051074</v>
      </c>
      <c r="K9" s="336">
        <f>D95</f>
        <v>14152.61988556068</v>
      </c>
      <c r="L9" s="27">
        <f>SUM(I9:K9)/1000</f>
        <v>124.43331244728768</v>
      </c>
      <c r="M9" s="28" t="s">
        <v>124</v>
      </c>
      <c r="N9" s="12"/>
      <c r="O9" s="12"/>
      <c r="P9" s="12"/>
      <c r="Q9" s="12"/>
      <c r="R9" s="12"/>
      <c r="S9" s="12"/>
      <c r="T9" s="12"/>
      <c r="U9" s="12"/>
      <c r="V9" s="12"/>
      <c r="W9" s="12"/>
      <c r="X9" s="12"/>
      <c r="Y9" s="12"/>
      <c r="Z9" s="12"/>
      <c r="AA9" s="12"/>
      <c r="AB9" s="12"/>
      <c r="AC9" s="12"/>
      <c r="AD9" s="12"/>
      <c r="AE9" s="12"/>
      <c r="AF9" s="12"/>
    </row>
    <row r="10" spans="1:32" x14ac:dyDescent="0.35">
      <c r="A10" s="12"/>
      <c r="B10" s="12"/>
      <c r="C10" s="252" t="s">
        <v>125</v>
      </c>
      <c r="D10" s="327">
        <f>Energiantarve!I8</f>
        <v>0.2</v>
      </c>
      <c r="E10" s="12" t="s">
        <v>76</v>
      </c>
      <c r="F10" s="12"/>
      <c r="G10" s="12"/>
      <c r="H10" s="335" t="s">
        <v>126</v>
      </c>
      <c r="I10" s="336">
        <f>D43</f>
        <v>0</v>
      </c>
      <c r="J10" s="337">
        <f>D65*0.8</f>
        <v>320.4031973981098</v>
      </c>
      <c r="K10" s="336">
        <f>0.8*D96</f>
        <v>856.17350353985137</v>
      </c>
      <c r="L10" s="27">
        <f>SUM(I10:K10)/1000</f>
        <v>1.1765767009379611</v>
      </c>
      <c r="M10" s="28" t="s">
        <v>124</v>
      </c>
      <c r="N10" s="12"/>
      <c r="O10" s="12"/>
      <c r="P10" s="12"/>
      <c r="Q10" s="12"/>
      <c r="R10" s="12"/>
      <c r="S10" s="12"/>
      <c r="T10" s="12"/>
      <c r="U10" s="12"/>
      <c r="V10" s="12"/>
      <c r="W10" s="12"/>
      <c r="X10" s="12"/>
      <c r="Y10" s="12"/>
      <c r="Z10" s="12"/>
      <c r="AA10" s="12"/>
      <c r="AB10" s="12"/>
      <c r="AC10" s="12"/>
      <c r="AD10" s="12"/>
      <c r="AE10" s="12"/>
      <c r="AF10" s="12"/>
    </row>
    <row r="11" spans="1:32" ht="15" thickBot="1" x14ac:dyDescent="0.4">
      <c r="A11" s="12"/>
      <c r="B11" s="12"/>
      <c r="C11" s="252" t="s">
        <v>127</v>
      </c>
      <c r="D11" s="327">
        <f>Energiantarve!J8</f>
        <v>0</v>
      </c>
      <c r="E11" s="12" t="s">
        <v>76</v>
      </c>
      <c r="F11" s="12"/>
      <c r="G11" s="12"/>
      <c r="H11" s="338" t="s">
        <v>128</v>
      </c>
      <c r="I11" s="339">
        <f>D44</f>
        <v>0</v>
      </c>
      <c r="J11" s="340">
        <f>D65*0.2</f>
        <v>80.100799349527449</v>
      </c>
      <c r="K11" s="339">
        <f>0.2*D96</f>
        <v>214.04337588496284</v>
      </c>
      <c r="L11" s="29">
        <f>SUM(I11:K11)/1000</f>
        <v>0.29414417523449027</v>
      </c>
      <c r="M11" s="30" t="s">
        <v>124</v>
      </c>
      <c r="N11" s="12"/>
      <c r="O11" s="12"/>
      <c r="P11" s="12"/>
      <c r="Q11" s="12"/>
      <c r="R11" s="12"/>
      <c r="S11" s="12"/>
      <c r="T11" s="12"/>
      <c r="U11" s="12"/>
      <c r="V11" s="12"/>
      <c r="W11" s="12"/>
      <c r="X11" s="12"/>
      <c r="Y11" s="12"/>
      <c r="Z11" s="12"/>
      <c r="AA11" s="12"/>
      <c r="AB11" s="12"/>
      <c r="AC11" s="12"/>
      <c r="AD11" s="12"/>
      <c r="AE11" s="12"/>
      <c r="AF11" s="12"/>
    </row>
    <row r="12" spans="1:32" x14ac:dyDescent="0.35">
      <c r="A12" s="12"/>
      <c r="B12" s="12"/>
      <c r="C12" s="252" t="s">
        <v>129</v>
      </c>
      <c r="D12" s="326">
        <f>Energiantarve!E5</f>
        <v>20</v>
      </c>
      <c r="E12" s="12" t="s">
        <v>79</v>
      </c>
      <c r="F12" s="12"/>
      <c r="G12" s="12"/>
      <c r="H12" s="12"/>
      <c r="I12" s="12"/>
      <c r="J12" s="12"/>
      <c r="K12" s="12"/>
      <c r="L12" s="12"/>
      <c r="M12" s="12"/>
      <c r="N12" s="12"/>
      <c r="O12" s="12"/>
      <c r="P12" s="12"/>
      <c r="Q12" s="12"/>
      <c r="R12" s="12"/>
      <c r="S12" s="12"/>
      <c r="T12" s="12"/>
      <c r="U12" s="12"/>
      <c r="V12" s="12"/>
      <c r="W12" s="12"/>
      <c r="X12" s="12"/>
      <c r="Y12" s="12"/>
      <c r="Z12" s="12"/>
      <c r="AA12" s="12"/>
      <c r="AB12" s="12"/>
      <c r="AC12" s="12"/>
      <c r="AD12" s="12"/>
      <c r="AE12" s="12"/>
      <c r="AF12" s="12"/>
    </row>
    <row r="13" spans="1:32" x14ac:dyDescent="0.35">
      <c r="A13" s="12"/>
      <c r="B13" s="12"/>
      <c r="C13" s="252" t="s">
        <v>130</v>
      </c>
      <c r="D13" s="327">
        <f>Energiantarve!M5</f>
        <v>0.2</v>
      </c>
      <c r="E13" s="12" t="s">
        <v>76</v>
      </c>
      <c r="F13" s="12"/>
      <c r="G13" s="12"/>
      <c r="H13" s="12" t="s">
        <v>131</v>
      </c>
      <c r="I13" s="12"/>
      <c r="J13" s="12"/>
      <c r="K13" s="12"/>
      <c r="L13" s="12"/>
      <c r="M13" s="12"/>
      <c r="N13" s="12"/>
      <c r="O13" s="12"/>
      <c r="P13" s="12"/>
      <c r="Q13" s="12"/>
      <c r="R13" s="12"/>
      <c r="S13" s="12"/>
      <c r="T13" s="12"/>
      <c r="U13" s="12"/>
      <c r="V13" s="12"/>
      <c r="W13" s="12"/>
      <c r="X13" s="12"/>
      <c r="Y13" s="12"/>
      <c r="Z13" s="12"/>
      <c r="AA13" s="12"/>
      <c r="AB13" s="12"/>
      <c r="AC13" s="12"/>
      <c r="AD13" s="12"/>
      <c r="AE13" s="12"/>
      <c r="AF13" s="12"/>
    </row>
    <row r="14" spans="1:32" x14ac:dyDescent="0.35">
      <c r="A14" s="12"/>
      <c r="B14" s="12"/>
      <c r="C14" s="252" t="s">
        <v>99</v>
      </c>
      <c r="D14" s="326" t="str">
        <f>Energiantarve!K8</f>
        <v>11,1</v>
      </c>
      <c r="E14" s="12" t="s">
        <v>132</v>
      </c>
      <c r="F14" s="12"/>
      <c r="G14" s="12"/>
      <c r="H14" s="12"/>
      <c r="I14" s="12"/>
      <c r="J14" s="12"/>
      <c r="K14" s="12"/>
      <c r="L14" s="12"/>
      <c r="M14" s="12"/>
      <c r="N14" s="12"/>
      <c r="O14" s="12"/>
      <c r="P14" s="12"/>
      <c r="Q14" s="12"/>
      <c r="R14" s="12"/>
      <c r="S14" s="12"/>
      <c r="T14" s="12"/>
      <c r="U14" s="12"/>
      <c r="V14" s="12"/>
      <c r="W14" s="12"/>
      <c r="X14" s="12"/>
      <c r="Y14" s="12"/>
      <c r="Z14" s="12"/>
      <c r="AA14" s="12"/>
      <c r="AB14" s="12"/>
      <c r="AC14" s="12"/>
      <c r="AD14" s="12"/>
      <c r="AE14" s="12"/>
      <c r="AF14" s="12"/>
    </row>
    <row r="15" spans="1:32" x14ac:dyDescent="0.35">
      <c r="A15" s="12"/>
      <c r="B15" s="12"/>
      <c r="C15" s="252" t="s">
        <v>133</v>
      </c>
      <c r="D15" s="328">
        <f>P66</f>
        <v>10.254808297973341</v>
      </c>
      <c r="E15" s="12" t="s">
        <v>132</v>
      </c>
      <c r="F15" s="12"/>
      <c r="G15" s="12"/>
      <c r="H15" s="12"/>
      <c r="I15" s="12"/>
      <c r="J15" s="12"/>
      <c r="K15" s="12"/>
      <c r="L15" s="12"/>
      <c r="M15" s="12"/>
      <c r="N15" s="12"/>
      <c r="O15" s="12"/>
      <c r="P15" s="12"/>
      <c r="Q15" s="12"/>
      <c r="R15" s="12"/>
      <c r="S15" s="12"/>
      <c r="T15" s="12"/>
      <c r="U15" s="12"/>
      <c r="V15" s="12"/>
      <c r="W15" s="12"/>
      <c r="X15" s="12"/>
      <c r="Y15" s="12"/>
      <c r="Z15" s="12"/>
      <c r="AA15" s="12"/>
      <c r="AB15" s="12"/>
      <c r="AC15" s="12"/>
      <c r="AD15" s="12"/>
      <c r="AE15" s="12"/>
      <c r="AF15" s="12"/>
    </row>
    <row r="16" spans="1:32" x14ac:dyDescent="0.35">
      <c r="A16" s="12"/>
      <c r="B16" s="12"/>
      <c r="C16" s="252" t="s">
        <v>100</v>
      </c>
      <c r="D16" s="327">
        <f>Energiantarve!L8</f>
        <v>0.05</v>
      </c>
      <c r="E16" s="12" t="s">
        <v>134</v>
      </c>
      <c r="F16" s="12"/>
      <c r="G16" s="12"/>
      <c r="H16" s="12"/>
      <c r="I16" s="12"/>
      <c r="J16" s="12"/>
      <c r="K16" s="12"/>
      <c r="L16" s="12"/>
      <c r="M16" s="12"/>
      <c r="N16" s="12"/>
      <c r="O16" s="12"/>
      <c r="P16" s="12"/>
      <c r="Q16" s="12"/>
      <c r="R16" s="12"/>
      <c r="S16" s="12"/>
      <c r="T16" s="12"/>
      <c r="U16" s="12"/>
      <c r="V16" s="12"/>
      <c r="W16" s="12"/>
      <c r="X16" s="12"/>
      <c r="Y16" s="12"/>
      <c r="Z16" s="12"/>
      <c r="AA16" s="12"/>
      <c r="AB16" s="12"/>
      <c r="AC16" s="12"/>
      <c r="AD16" s="12"/>
      <c r="AE16" s="12"/>
      <c r="AF16" s="12"/>
    </row>
    <row r="17" spans="1:32" s="31" customFormat="1" ht="15" thickBot="1" x14ac:dyDescent="0.4">
      <c r="A17" s="330"/>
      <c r="B17" s="330"/>
      <c r="C17" s="330"/>
      <c r="D17" s="331"/>
      <c r="E17" s="330"/>
      <c r="F17" s="330"/>
      <c r="G17" s="330"/>
      <c r="H17" s="330"/>
      <c r="I17" s="330"/>
      <c r="J17" s="330"/>
      <c r="K17" s="330"/>
      <c r="L17" s="330"/>
      <c r="M17" s="330"/>
      <c r="N17" s="330"/>
      <c r="O17" s="330"/>
      <c r="P17" s="330"/>
      <c r="Q17" s="330"/>
      <c r="R17" s="330"/>
      <c r="S17" s="330"/>
      <c r="T17" s="330"/>
      <c r="U17" s="330"/>
      <c r="V17" s="330"/>
      <c r="W17" s="330"/>
      <c r="X17" s="330"/>
      <c r="Y17" s="330"/>
      <c r="Z17" s="330"/>
      <c r="AA17" s="330"/>
      <c r="AB17" s="330"/>
      <c r="AC17" s="330"/>
      <c r="AD17" s="330"/>
      <c r="AE17" s="330"/>
      <c r="AF17" s="330"/>
    </row>
    <row r="18" spans="1:32" s="348" customFormat="1" ht="15" thickTop="1" x14ac:dyDescent="0.35">
      <c r="A18" s="347"/>
      <c r="D18" s="349"/>
    </row>
    <row r="19" spans="1:32" s="12" customFormat="1" x14ac:dyDescent="0.35">
      <c r="B19" s="350"/>
      <c r="C19" s="242"/>
    </row>
    <row r="20" spans="1:32" s="12" customFormat="1" ht="15.5" x14ac:dyDescent="0.35">
      <c r="A20" s="351" t="s">
        <v>135</v>
      </c>
      <c r="B20" s="350"/>
      <c r="C20" s="242"/>
    </row>
    <row r="21" spans="1:32" s="12" customFormat="1" x14ac:dyDescent="0.35">
      <c r="B21" s="350"/>
      <c r="C21" s="242"/>
    </row>
    <row r="22" spans="1:32" s="12" customFormat="1" x14ac:dyDescent="0.35">
      <c r="L22" s="12" t="s">
        <v>136</v>
      </c>
    </row>
    <row r="23" spans="1:32" s="12" customFormat="1" x14ac:dyDescent="0.35">
      <c r="B23" s="350" t="s">
        <v>137</v>
      </c>
      <c r="C23" s="242" t="s">
        <v>138</v>
      </c>
      <c r="D23" s="352">
        <f>D4*(383*D5+242*D6+783.3)/3140</f>
        <v>6294.1337579617839</v>
      </c>
      <c r="G23" s="350" t="s">
        <v>139</v>
      </c>
      <c r="L23" s="12" t="s">
        <v>140</v>
      </c>
    </row>
    <row r="24" spans="1:32" s="12" customFormat="1" x14ac:dyDescent="0.35">
      <c r="B24" s="350"/>
      <c r="C24" s="242" t="s">
        <v>141</v>
      </c>
      <c r="D24" s="353">
        <v>5.2</v>
      </c>
      <c r="H24" s="12" t="s">
        <v>142</v>
      </c>
      <c r="I24" s="18">
        <f>0.016*D8</f>
        <v>11.200000000000001</v>
      </c>
    </row>
    <row r="25" spans="1:32" s="12" customFormat="1" x14ac:dyDescent="0.35">
      <c r="B25" s="350"/>
      <c r="C25" s="242" t="s">
        <v>143</v>
      </c>
      <c r="D25" s="354">
        <v>321</v>
      </c>
      <c r="H25" s="12" t="s">
        <v>144</v>
      </c>
      <c r="I25" s="18">
        <v>13.2</v>
      </c>
    </row>
    <row r="26" spans="1:32" s="12" customFormat="1" x14ac:dyDescent="0.35">
      <c r="B26" s="350"/>
      <c r="C26" s="242" t="s">
        <v>145</v>
      </c>
      <c r="D26" s="353">
        <f>D23/D25</f>
        <v>19.607893326983749</v>
      </c>
      <c r="H26" s="12" t="s">
        <v>146</v>
      </c>
      <c r="I26" s="18">
        <v>11.4</v>
      </c>
    </row>
    <row r="27" spans="1:32" s="12" customFormat="1" x14ac:dyDescent="0.35">
      <c r="B27" s="350"/>
      <c r="C27" s="242" t="s">
        <v>147</v>
      </c>
      <c r="D27" s="353">
        <f>D4/D25</f>
        <v>18.691588785046729</v>
      </c>
      <c r="H27" s="12" t="s">
        <v>148</v>
      </c>
      <c r="I27" s="18">
        <v>115</v>
      </c>
    </row>
    <row r="28" spans="1:32" s="12" customFormat="1" x14ac:dyDescent="0.35">
      <c r="B28" s="350" t="s">
        <v>149</v>
      </c>
      <c r="C28" s="242"/>
      <c r="D28" s="353"/>
      <c r="H28" s="12" t="s">
        <v>150</v>
      </c>
      <c r="I28" s="18">
        <v>379</v>
      </c>
    </row>
    <row r="29" spans="1:32" s="12" customFormat="1" x14ac:dyDescent="0.35">
      <c r="B29" s="242"/>
      <c r="C29" s="242" t="s">
        <v>151</v>
      </c>
      <c r="D29" s="353">
        <f>D26*5.15</f>
        <v>100.98065063396632</v>
      </c>
      <c r="H29" s="12" t="s">
        <v>152</v>
      </c>
      <c r="I29" s="18">
        <f>(1-D10)*I25+D10*I26</f>
        <v>12.84</v>
      </c>
    </row>
    <row r="30" spans="1:32" s="12" customFormat="1" x14ac:dyDescent="0.35">
      <c r="B30" s="350"/>
      <c r="C30" s="242" t="s">
        <v>153</v>
      </c>
      <c r="D30" s="353">
        <f>D7^0.75*0.515</f>
        <v>73.807955697787321</v>
      </c>
      <c r="H30" s="12" t="s">
        <v>154</v>
      </c>
      <c r="I30" s="18">
        <f>(1-D10)*I27+D10*I28</f>
        <v>167.8</v>
      </c>
    </row>
    <row r="31" spans="1:32" s="12" customFormat="1" x14ac:dyDescent="0.35">
      <c r="B31" s="241"/>
      <c r="C31" s="241" t="s">
        <v>155</v>
      </c>
      <c r="D31" s="355">
        <f>(50*6)/D25</f>
        <v>0.93457943925233644</v>
      </c>
      <c r="I31" s="18"/>
    </row>
    <row r="32" spans="1:32" s="12" customFormat="1" x14ac:dyDescent="0.35">
      <c r="B32" s="350"/>
      <c r="C32" s="242" t="s">
        <v>156</v>
      </c>
      <c r="D32" s="353">
        <f>D29+D30+D31</f>
        <v>175.72318577100597</v>
      </c>
      <c r="H32" s="12" t="s">
        <v>157</v>
      </c>
      <c r="I32" s="356">
        <f>(D11*I29+(1-D11)*I24)*0.985</f>
        <v>11.032</v>
      </c>
      <c r="J32" s="12" t="s">
        <v>158</v>
      </c>
      <c r="L32" s="12" t="s">
        <v>159</v>
      </c>
    </row>
    <row r="33" spans="1:12" s="12" customFormat="1" x14ac:dyDescent="0.35">
      <c r="B33" s="350"/>
      <c r="C33" s="242" t="s">
        <v>160</v>
      </c>
      <c r="D33" s="353">
        <f>D32*D25</f>
        <v>56407.14263249292</v>
      </c>
      <c r="I33" s="356"/>
    </row>
    <row r="34" spans="1:12" s="12" customFormat="1" x14ac:dyDescent="0.35">
      <c r="B34" s="350"/>
      <c r="C34" s="242"/>
      <c r="D34" s="357"/>
      <c r="H34" s="12" t="s">
        <v>161</v>
      </c>
      <c r="I34" s="358">
        <f>(D11*I30+(1-D11)*D9)*0.985</f>
        <v>147.75</v>
      </c>
    </row>
    <row r="35" spans="1:12" s="12" customFormat="1" x14ac:dyDescent="0.35">
      <c r="B35" s="350" t="s">
        <v>162</v>
      </c>
      <c r="C35" s="242" t="s">
        <v>163</v>
      </c>
      <c r="D35" s="354">
        <f>I39</f>
        <v>10.987928151074588</v>
      </c>
      <c r="H35" s="12" t="s">
        <v>164</v>
      </c>
      <c r="I35" s="358">
        <f>0.68*D26</f>
        <v>13.333367462348951</v>
      </c>
    </row>
    <row r="36" spans="1:12" s="12" customFormat="1" x14ac:dyDescent="0.35">
      <c r="C36" s="242"/>
      <c r="D36" s="359"/>
      <c r="H36" s="12" t="s">
        <v>165</v>
      </c>
      <c r="I36" s="358">
        <f>I35*I32</f>
        <v>147.09370984463362</v>
      </c>
      <c r="J36" s="12" t="s">
        <v>166</v>
      </c>
    </row>
    <row r="37" spans="1:12" s="12" customFormat="1" ht="17" x14ac:dyDescent="0.35">
      <c r="C37" s="242" t="s">
        <v>167</v>
      </c>
      <c r="D37" s="360">
        <f>IF(D35=0,0,D32/D35)</f>
        <v>15.992385766903723</v>
      </c>
      <c r="H37" s="12" t="s">
        <v>168</v>
      </c>
      <c r="I37" s="358">
        <f>-56.7+6.99*I32+1.621*I35-0.44595*I34+0.00112*I34*I34</f>
        <v>0.58762615646764971</v>
      </c>
      <c r="L37" s="361" t="s">
        <v>169</v>
      </c>
    </row>
    <row r="38" spans="1:12" s="12" customFormat="1" x14ac:dyDescent="0.35">
      <c r="C38" s="242" t="s">
        <v>123</v>
      </c>
      <c r="D38" s="358">
        <f>(1-D11)*D37</f>
        <v>15.992385766903723</v>
      </c>
      <c r="E38" s="12" t="s">
        <v>170</v>
      </c>
      <c r="H38" s="12" t="s">
        <v>171</v>
      </c>
      <c r="I38" s="358">
        <f>I36-I37</f>
        <v>146.50608368816597</v>
      </c>
    </row>
    <row r="39" spans="1:12" s="12" customFormat="1" x14ac:dyDescent="0.35">
      <c r="C39" s="242" t="s">
        <v>126</v>
      </c>
      <c r="D39" s="358">
        <f>D11*D37</f>
        <v>0</v>
      </c>
      <c r="E39" s="12" t="s">
        <v>170</v>
      </c>
      <c r="H39" s="12" t="s">
        <v>172</v>
      </c>
      <c r="I39" s="358">
        <f>IF(I35=0,0,I38/I35)</f>
        <v>10.987928151074588</v>
      </c>
    </row>
    <row r="40" spans="1:12" s="12" customFormat="1" x14ac:dyDescent="0.35">
      <c r="C40" s="242" t="s">
        <v>173</v>
      </c>
      <c r="D40" s="358">
        <f>D10*D39</f>
        <v>0</v>
      </c>
      <c r="E40" s="12" t="s">
        <v>170</v>
      </c>
    </row>
    <row r="41" spans="1:12" s="12" customFormat="1" x14ac:dyDescent="0.35">
      <c r="C41" s="242"/>
      <c r="D41" s="18"/>
    </row>
    <row r="42" spans="1:12" s="12" customFormat="1" x14ac:dyDescent="0.35">
      <c r="C42" s="242" t="s">
        <v>123</v>
      </c>
      <c r="D42" s="362">
        <f>IF(D12=0,0,D38*D25*D12)</f>
        <v>102671.1166235219</v>
      </c>
      <c r="E42" s="12" t="s">
        <v>174</v>
      </c>
    </row>
    <row r="43" spans="1:12" s="12" customFormat="1" x14ac:dyDescent="0.35">
      <c r="C43" s="242" t="s">
        <v>126</v>
      </c>
      <c r="D43" s="362">
        <f>IF(D12=0,0,D39*D25*D12)</f>
        <v>0</v>
      </c>
      <c r="E43" s="12" t="s">
        <v>174</v>
      </c>
    </row>
    <row r="44" spans="1:12" s="12" customFormat="1" x14ac:dyDescent="0.35">
      <c r="C44" s="242" t="s">
        <v>173</v>
      </c>
      <c r="D44" s="362">
        <f>IF(D12=0,0,D40*D25*D12)</f>
        <v>0</v>
      </c>
      <c r="E44" s="12" t="s">
        <v>174</v>
      </c>
    </row>
    <row r="45" spans="1:12" s="12" customFormat="1" x14ac:dyDescent="0.35"/>
    <row r="46" spans="1:12" s="12" customFormat="1" x14ac:dyDescent="0.35"/>
    <row r="47" spans="1:12" s="12" customFormat="1" ht="15.5" x14ac:dyDescent="0.35">
      <c r="A47" s="351" t="s">
        <v>175</v>
      </c>
    </row>
    <row r="48" spans="1:12" s="12" customFormat="1" x14ac:dyDescent="0.35">
      <c r="C48" s="12" t="s">
        <v>176</v>
      </c>
      <c r="D48" s="358">
        <f>365.25-D25</f>
        <v>44.25</v>
      </c>
    </row>
    <row r="49" spans="3:13" s="12" customFormat="1" x14ac:dyDescent="0.35">
      <c r="C49" s="12" t="s">
        <v>177</v>
      </c>
      <c r="D49" s="18">
        <v>44.3</v>
      </c>
    </row>
    <row r="50" spans="3:13" s="12" customFormat="1" x14ac:dyDescent="0.35">
      <c r="C50" s="12" t="s">
        <v>178</v>
      </c>
      <c r="D50" s="18">
        <v>0.73</v>
      </c>
      <c r="E50" s="12" t="s">
        <v>179</v>
      </c>
    </row>
    <row r="51" spans="3:13" s="12" customFormat="1" x14ac:dyDescent="0.35">
      <c r="C51" s="12" t="s">
        <v>116</v>
      </c>
      <c r="D51" s="18">
        <f>D7</f>
        <v>750</v>
      </c>
    </row>
    <row r="52" spans="3:13" s="12" customFormat="1" x14ac:dyDescent="0.35">
      <c r="C52" s="12" t="s">
        <v>180</v>
      </c>
      <c r="D52" s="356">
        <f>D51^0.75*0.515*1.1</f>
        <v>81.188751267566062</v>
      </c>
      <c r="E52" s="12" t="s">
        <v>181</v>
      </c>
    </row>
    <row r="53" spans="3:13" s="12" customFormat="1" x14ac:dyDescent="0.35">
      <c r="C53" s="12" t="s">
        <v>182</v>
      </c>
      <c r="D53" s="362">
        <v>1948</v>
      </c>
      <c r="E53" s="12" t="s">
        <v>183</v>
      </c>
    </row>
    <row r="54" spans="3:13" s="12" customFormat="1" x14ac:dyDescent="0.35">
      <c r="C54" s="12" t="s">
        <v>184</v>
      </c>
      <c r="D54" s="362">
        <f>D53*D50/D48</f>
        <v>32.136497175141244</v>
      </c>
      <c r="E54" s="12" t="s">
        <v>185</v>
      </c>
    </row>
    <row r="55" spans="3:13" s="12" customFormat="1" x14ac:dyDescent="0.35">
      <c r="C55" s="12" t="s">
        <v>186</v>
      </c>
      <c r="D55" s="362">
        <f>D52+D54</f>
        <v>113.32524844270731</v>
      </c>
      <c r="E55" s="12" t="s">
        <v>185</v>
      </c>
    </row>
    <row r="56" spans="3:13" s="12" customFormat="1" x14ac:dyDescent="0.35">
      <c r="C56" s="12" t="s">
        <v>187</v>
      </c>
      <c r="D56" s="362">
        <f>D55-D66*N66</f>
        <v>101.32524844270731</v>
      </c>
    </row>
    <row r="57" spans="3:13" s="12" customFormat="1" x14ac:dyDescent="0.35"/>
    <row r="58" spans="3:13" s="12" customFormat="1" x14ac:dyDescent="0.35">
      <c r="C58" s="12" t="s">
        <v>188</v>
      </c>
      <c r="D58" s="363" t="str">
        <f>D14</f>
        <v>11,1</v>
      </c>
    </row>
    <row r="59" spans="3:13" s="12" customFormat="1" x14ac:dyDescent="0.35">
      <c r="C59" s="12" t="s">
        <v>189</v>
      </c>
      <c r="D59" s="363">
        <f>D16*M66+(1-D16)*D58</f>
        <v>11.195</v>
      </c>
    </row>
    <row r="60" spans="3:13" s="12" customFormat="1" x14ac:dyDescent="0.35">
      <c r="C60" s="12" t="s">
        <v>190</v>
      </c>
      <c r="D60" s="364"/>
      <c r="E60" s="12" t="s">
        <v>191</v>
      </c>
    </row>
    <row r="61" spans="3:13" s="12" customFormat="1" x14ac:dyDescent="0.35">
      <c r="C61" s="12" t="s">
        <v>192</v>
      </c>
      <c r="D61" s="364">
        <f>D56/D59</f>
        <v>9.0509377796076205</v>
      </c>
      <c r="E61" s="12" t="s">
        <v>193</v>
      </c>
    </row>
    <row r="62" spans="3:13" s="12" customFormat="1" x14ac:dyDescent="0.35">
      <c r="C62" s="12" t="s">
        <v>123</v>
      </c>
      <c r="D62" s="364">
        <f>(1-D16)*D61</f>
        <v>8.5983908906272397</v>
      </c>
      <c r="E62" s="12" t="s">
        <v>193</v>
      </c>
    </row>
    <row r="63" spans="3:13" s="12" customFormat="1" x14ac:dyDescent="0.35">
      <c r="C63" s="12" t="s">
        <v>126</v>
      </c>
      <c r="D63" s="364">
        <f>D16*D61</f>
        <v>0.45254688898038103</v>
      </c>
      <c r="E63" s="12" t="s">
        <v>193</v>
      </c>
    </row>
    <row r="64" spans="3:13" s="12" customFormat="1" x14ac:dyDescent="0.35">
      <c r="C64" s="12" t="s">
        <v>123</v>
      </c>
      <c r="D64" s="364">
        <f>D48*D62*D12</f>
        <v>7609.5759382051074</v>
      </c>
      <c r="E64" s="12" t="s">
        <v>194</v>
      </c>
      <c r="M64" s="12" t="s">
        <v>195</v>
      </c>
    </row>
    <row r="65" spans="1:32" s="12" customFormat="1" x14ac:dyDescent="0.35">
      <c r="C65" s="12" t="s">
        <v>196</v>
      </c>
      <c r="D65" s="364">
        <f>D48*D63*D12</f>
        <v>400.50399674763725</v>
      </c>
      <c r="E65" s="12" t="s">
        <v>194</v>
      </c>
      <c r="M65" s="365" t="s">
        <v>197</v>
      </c>
      <c r="N65" s="366" t="s">
        <v>198</v>
      </c>
      <c r="O65" s="366" t="s">
        <v>199</v>
      </c>
      <c r="P65" s="367" t="s">
        <v>200</v>
      </c>
    </row>
    <row r="66" spans="1:32" s="12" customFormat="1" x14ac:dyDescent="0.35">
      <c r="C66" s="368" t="s">
        <v>201</v>
      </c>
      <c r="D66" s="369">
        <v>2</v>
      </c>
      <c r="E66" s="370" t="s">
        <v>202</v>
      </c>
      <c r="M66" s="371">
        <v>13</v>
      </c>
      <c r="N66" s="372">
        <v>6</v>
      </c>
      <c r="O66" s="373">
        <f>D61*D59+N66*D66</f>
        <v>113.32524844270732</v>
      </c>
      <c r="P66" s="374">
        <f>O66/(D66+D61)</f>
        <v>10.254808297973341</v>
      </c>
    </row>
    <row r="67" spans="1:32" s="12" customFormat="1" x14ac:dyDescent="0.35"/>
    <row r="68" spans="1:32" s="12" customFormat="1" ht="15.5" x14ac:dyDescent="0.35">
      <c r="A68" s="351" t="s">
        <v>203</v>
      </c>
    </row>
    <row r="69" spans="1:32" s="12" customFormat="1" x14ac:dyDescent="0.35">
      <c r="D69" s="12" t="s">
        <v>204</v>
      </c>
      <c r="E69" s="375" t="s">
        <v>205</v>
      </c>
      <c r="F69" s="12" t="s">
        <v>206</v>
      </c>
      <c r="J69" s="18" t="s">
        <v>207</v>
      </c>
      <c r="K69" s="18" t="s">
        <v>208</v>
      </c>
    </row>
    <row r="70" spans="1:32" s="12" customFormat="1" x14ac:dyDescent="0.35">
      <c r="D70" s="376">
        <v>182</v>
      </c>
      <c r="E70" s="376">
        <f>365-183</f>
        <v>182</v>
      </c>
      <c r="F70" s="376">
        <v>451</v>
      </c>
      <c r="G70" s="12" t="s">
        <v>209</v>
      </c>
      <c r="J70" s="376">
        <f>SUM(D70:F70)</f>
        <v>815</v>
      </c>
      <c r="K70" s="377">
        <f>J70/365.25</f>
        <v>2.2313483915126624</v>
      </c>
    </row>
    <row r="71" spans="1:32" x14ac:dyDescent="0.35">
      <c r="A71" s="12"/>
      <c r="B71" s="12"/>
      <c r="C71" s="12"/>
      <c r="D71" s="341" t="s">
        <v>210</v>
      </c>
      <c r="E71" s="341" t="s">
        <v>211</v>
      </c>
      <c r="F71" s="341" t="s">
        <v>212</v>
      </c>
      <c r="G71" s="12"/>
      <c r="H71" s="12"/>
      <c r="I71" s="12"/>
      <c r="J71" s="12"/>
      <c r="K71" s="12"/>
      <c r="L71" s="12"/>
      <c r="M71" s="12"/>
      <c r="N71" s="12"/>
      <c r="O71" s="12"/>
      <c r="P71" s="12"/>
      <c r="Q71" s="12"/>
      <c r="R71" s="12"/>
      <c r="S71" s="12"/>
      <c r="T71" s="12"/>
      <c r="U71" s="12"/>
      <c r="V71" s="12"/>
      <c r="W71" s="12"/>
      <c r="X71" s="12"/>
      <c r="Y71" s="12"/>
      <c r="Z71" s="12"/>
      <c r="AA71" s="12"/>
      <c r="AB71" s="12"/>
      <c r="AC71" s="12"/>
      <c r="AD71" s="12"/>
      <c r="AE71" s="12"/>
      <c r="AF71" s="12"/>
    </row>
    <row r="72" spans="1:32" x14ac:dyDescent="0.35">
      <c r="A72" s="12"/>
      <c r="B72" s="12"/>
      <c r="C72" s="12" t="s">
        <v>213</v>
      </c>
      <c r="D72" s="342">
        <v>40</v>
      </c>
      <c r="E72" s="343">
        <v>193</v>
      </c>
      <c r="F72" s="342">
        <v>339</v>
      </c>
      <c r="G72" s="12" t="s">
        <v>80</v>
      </c>
      <c r="H72" s="12"/>
      <c r="I72" s="12"/>
      <c r="J72" s="12"/>
      <c r="K72" s="12"/>
      <c r="L72" s="12"/>
      <c r="M72" s="12"/>
      <c r="N72" s="12"/>
      <c r="O72" s="12"/>
      <c r="P72" s="12"/>
      <c r="Q72" s="12"/>
      <c r="R72" s="12"/>
      <c r="S72" s="12"/>
      <c r="T72" s="12"/>
      <c r="U72" s="12"/>
      <c r="V72" s="12"/>
      <c r="W72" s="12"/>
      <c r="X72" s="12"/>
      <c r="Y72" s="12"/>
      <c r="Z72" s="12"/>
      <c r="AA72" s="12"/>
      <c r="AB72" s="12"/>
      <c r="AC72" s="12"/>
      <c r="AD72" s="12"/>
      <c r="AE72" s="12"/>
      <c r="AF72" s="12"/>
    </row>
    <row r="73" spans="1:32" x14ac:dyDescent="0.35">
      <c r="A73" s="12"/>
      <c r="B73" s="12"/>
      <c r="C73" s="12" t="s">
        <v>214</v>
      </c>
      <c r="D73" s="342">
        <v>0.84</v>
      </c>
      <c r="E73" s="342">
        <v>0.8</v>
      </c>
      <c r="F73" s="342">
        <v>0.43</v>
      </c>
      <c r="G73" s="12" t="s">
        <v>215</v>
      </c>
      <c r="H73" s="12"/>
      <c r="I73" s="12"/>
      <c r="J73" s="12"/>
      <c r="K73" s="12"/>
      <c r="L73" s="12"/>
      <c r="M73" s="12"/>
      <c r="N73" s="12"/>
      <c r="O73" s="12"/>
      <c r="P73" s="12"/>
      <c r="Q73" s="12"/>
      <c r="R73" s="12"/>
      <c r="S73" s="12"/>
      <c r="T73" s="12"/>
      <c r="U73" s="12"/>
      <c r="V73" s="12"/>
      <c r="W73" s="12"/>
      <c r="X73" s="12"/>
      <c r="Y73" s="12"/>
      <c r="Z73" s="12"/>
      <c r="AA73" s="12"/>
      <c r="AB73" s="12"/>
      <c r="AC73" s="12"/>
      <c r="AD73" s="12"/>
      <c r="AE73" s="12"/>
      <c r="AF73" s="12"/>
    </row>
    <row r="74" spans="1:32" x14ac:dyDescent="0.35">
      <c r="A74" s="12"/>
      <c r="B74" s="12"/>
      <c r="C74" s="12" t="s">
        <v>216</v>
      </c>
      <c r="D74" s="343">
        <v>193</v>
      </c>
      <c r="E74" s="343">
        <v>339</v>
      </c>
      <c r="F74" s="342">
        <v>533</v>
      </c>
      <c r="G74" s="12" t="s">
        <v>80</v>
      </c>
      <c r="H74" s="12"/>
      <c r="I74" s="12"/>
      <c r="J74" s="12"/>
      <c r="K74" s="12"/>
      <c r="L74" s="12"/>
      <c r="M74" s="12"/>
      <c r="N74" s="12"/>
      <c r="O74" s="12"/>
      <c r="P74" s="12"/>
      <c r="Q74" s="12"/>
      <c r="R74" s="12"/>
      <c r="S74" s="12"/>
      <c r="T74" s="12"/>
      <c r="U74" s="12"/>
      <c r="V74" s="12"/>
      <c r="W74" s="12"/>
      <c r="X74" s="12"/>
      <c r="Y74" s="12"/>
      <c r="Z74" s="12"/>
      <c r="AA74" s="12"/>
      <c r="AB74" s="12"/>
      <c r="AC74" s="12"/>
      <c r="AD74" s="12"/>
      <c r="AE74" s="12"/>
      <c r="AF74" s="12"/>
    </row>
    <row r="75" spans="1:32" x14ac:dyDescent="0.35">
      <c r="A75" s="12"/>
      <c r="B75" s="12"/>
      <c r="C75" s="12" t="s">
        <v>217</v>
      </c>
      <c r="D75" s="344">
        <f>A70/182*A75+B70/182*B75</f>
        <v>0</v>
      </c>
      <c r="E75" s="343">
        <f>(E72+E74)/2</f>
        <v>266</v>
      </c>
      <c r="F75" s="343">
        <f>(F72+F74)/2</f>
        <v>436</v>
      </c>
      <c r="G75" s="12" t="s">
        <v>80</v>
      </c>
      <c r="H75" s="12"/>
      <c r="I75" s="12"/>
      <c r="J75" s="12"/>
      <c r="K75" s="12"/>
      <c r="L75" s="12"/>
      <c r="M75" s="12"/>
      <c r="N75" s="12"/>
      <c r="O75" s="12"/>
      <c r="P75" s="12"/>
      <c r="Q75" s="12"/>
      <c r="R75" s="12"/>
      <c r="S75" s="12"/>
      <c r="T75" s="12"/>
      <c r="U75" s="12"/>
      <c r="V75" s="12"/>
      <c r="W75" s="12"/>
      <c r="X75" s="12"/>
      <c r="Y75" s="12"/>
      <c r="Z75" s="12"/>
      <c r="AA75" s="12"/>
      <c r="AB75" s="12"/>
      <c r="AC75" s="12"/>
      <c r="AD75" s="12"/>
      <c r="AE75" s="12"/>
      <c r="AF75" s="12"/>
    </row>
    <row r="76" spans="1:32" x14ac:dyDescent="0.35">
      <c r="A76" s="12"/>
      <c r="B76" s="12"/>
      <c r="C76" s="12" t="s">
        <v>218</v>
      </c>
      <c r="D76" s="345">
        <v>43</v>
      </c>
      <c r="E76" s="346">
        <v>64</v>
      </c>
      <c r="F76" s="346">
        <f>73+4</f>
        <v>77</v>
      </c>
      <c r="G76" s="12" t="s">
        <v>219</v>
      </c>
      <c r="H76" s="12"/>
      <c r="I76" s="12"/>
      <c r="J76" s="12"/>
      <c r="K76" s="12"/>
      <c r="L76" s="12"/>
      <c r="M76" s="12"/>
      <c r="N76" s="12"/>
      <c r="O76" s="12"/>
      <c r="P76" s="12"/>
      <c r="Q76" s="12"/>
      <c r="R76" s="12"/>
      <c r="S76" s="12"/>
      <c r="T76" s="12"/>
      <c r="U76" s="12"/>
      <c r="V76" s="12"/>
      <c r="W76" s="12"/>
      <c r="X76" s="12"/>
      <c r="Y76" s="12"/>
      <c r="Z76" s="12"/>
      <c r="AA76" s="12"/>
      <c r="AB76" s="12"/>
      <c r="AC76" s="12"/>
      <c r="AD76" s="12"/>
      <c r="AE76" s="12"/>
      <c r="AF76" s="12"/>
    </row>
    <row r="77" spans="1:32" s="12" customFormat="1" x14ac:dyDescent="0.35"/>
    <row r="78" spans="1:32" s="12" customFormat="1" x14ac:dyDescent="0.35">
      <c r="C78" s="12" t="s">
        <v>220</v>
      </c>
      <c r="D78" s="376">
        <v>11.7</v>
      </c>
      <c r="E78" s="376">
        <v>10.6</v>
      </c>
      <c r="F78" s="376">
        <v>10.584999999999999</v>
      </c>
      <c r="G78" s="12" t="s">
        <v>132</v>
      </c>
    </row>
    <row r="79" spans="1:32" s="12" customFormat="1" x14ac:dyDescent="0.35">
      <c r="C79" s="12" t="s">
        <v>221</v>
      </c>
      <c r="D79" s="377">
        <f>D76/D78</f>
        <v>3.6752136752136755</v>
      </c>
      <c r="E79" s="377">
        <f>E76/E78</f>
        <v>6.0377358490566042</v>
      </c>
      <c r="F79" s="377">
        <f>F76/F78</f>
        <v>7.2744449692961748</v>
      </c>
      <c r="G79" s="12" t="s">
        <v>222</v>
      </c>
    </row>
    <row r="80" spans="1:32" s="12" customFormat="1" x14ac:dyDescent="0.35">
      <c r="C80" s="12" t="s">
        <v>223</v>
      </c>
      <c r="D80" s="376">
        <f>1-(0.65*0.66)</f>
        <v>0.57099999999999995</v>
      </c>
      <c r="E80" s="376">
        <v>0</v>
      </c>
      <c r="F80" s="376">
        <v>0.1</v>
      </c>
    </row>
    <row r="81" spans="3:7" s="12" customFormat="1" x14ac:dyDescent="0.35"/>
    <row r="82" spans="3:7" s="12" customFormat="1" x14ac:dyDescent="0.35">
      <c r="C82" s="12" t="s">
        <v>123</v>
      </c>
      <c r="D82" s="378">
        <f>(1-D80)*D79</f>
        <v>1.5766666666666669</v>
      </c>
      <c r="E82" s="378">
        <f>(1-E80)*E79</f>
        <v>6.0377358490566042</v>
      </c>
      <c r="F82" s="378">
        <f>(1-F80)*F79</f>
        <v>6.5470004723665571</v>
      </c>
      <c r="G82" s="12" t="s">
        <v>170</v>
      </c>
    </row>
    <row r="83" spans="3:7" s="12" customFormat="1" x14ac:dyDescent="0.35">
      <c r="C83" s="12" t="s">
        <v>126</v>
      </c>
      <c r="D83" s="378">
        <f>D80*D79</f>
        <v>2.0985470085470084</v>
      </c>
      <c r="E83" s="378">
        <f>E80*E79</f>
        <v>0</v>
      </c>
      <c r="F83" s="378">
        <f>F80*F79</f>
        <v>0.72744449692961755</v>
      </c>
      <c r="G83" s="12" t="s">
        <v>224</v>
      </c>
    </row>
    <row r="84" spans="3:7" s="12" customFormat="1" x14ac:dyDescent="0.35">
      <c r="C84" s="12" t="s">
        <v>225</v>
      </c>
      <c r="D84" s="378">
        <f>D70/$J$70</f>
        <v>0.22331288343558281</v>
      </c>
      <c r="E84" s="378">
        <f>E70/$J$70</f>
        <v>0.22331288343558281</v>
      </c>
      <c r="F84" s="378">
        <f>F70/$J$70</f>
        <v>0.55337423312883438</v>
      </c>
      <c r="G84" s="12" t="s">
        <v>76</v>
      </c>
    </row>
    <row r="85" spans="3:7" s="12" customFormat="1" x14ac:dyDescent="0.35"/>
    <row r="86" spans="3:7" s="12" customFormat="1" x14ac:dyDescent="0.35">
      <c r="C86" s="12" t="s">
        <v>123</v>
      </c>
      <c r="D86" s="356">
        <f>D84*D82+E84*E82+F84*F82</f>
        <v>5.3233355471152795</v>
      </c>
      <c r="E86" s="12" t="s">
        <v>170</v>
      </c>
      <c r="F86" s="12" t="s">
        <v>226</v>
      </c>
    </row>
    <row r="87" spans="3:7" s="12" customFormat="1" x14ac:dyDescent="0.35">
      <c r="C87" s="12" t="s">
        <v>126</v>
      </c>
      <c r="D87" s="356">
        <f>E84*E83+F84*F83</f>
        <v>0.4025490406322178</v>
      </c>
      <c r="E87" s="12" t="s">
        <v>170</v>
      </c>
      <c r="F87" s="12" t="s">
        <v>227</v>
      </c>
    </row>
    <row r="88" spans="3:7" s="12" customFormat="1" x14ac:dyDescent="0.35">
      <c r="D88" s="18"/>
    </row>
    <row r="89" spans="3:7" s="12" customFormat="1" x14ac:dyDescent="0.35">
      <c r="C89" s="12" t="s">
        <v>228</v>
      </c>
      <c r="D89" s="358">
        <f>D12*K70*D13</f>
        <v>8.9253935660506496</v>
      </c>
      <c r="E89" s="12" t="s">
        <v>229</v>
      </c>
    </row>
    <row r="90" spans="3:7" s="12" customFormat="1" x14ac:dyDescent="0.35">
      <c r="C90" s="12" t="s">
        <v>230</v>
      </c>
      <c r="D90" s="358">
        <f>(E84+F84)*D89*1.05</f>
        <v>7.2788501026694039</v>
      </c>
      <c r="E90" s="12" t="s">
        <v>231</v>
      </c>
    </row>
    <row r="91" spans="3:7" s="12" customFormat="1" x14ac:dyDescent="0.35">
      <c r="D91" s="18"/>
    </row>
    <row r="92" spans="3:7" s="12" customFormat="1" x14ac:dyDescent="0.35">
      <c r="C92" s="12" t="s">
        <v>123</v>
      </c>
      <c r="D92" s="356">
        <f>D90*D86</f>
        <v>38.747761493663738</v>
      </c>
      <c r="E92" s="12" t="s">
        <v>232</v>
      </c>
    </row>
    <row r="93" spans="3:7" s="12" customFormat="1" x14ac:dyDescent="0.35">
      <c r="C93" s="12" t="s">
        <v>126</v>
      </c>
      <c r="D93" s="356">
        <f>D90*D87</f>
        <v>2.9300941257352884</v>
      </c>
      <c r="E93" s="12" t="s">
        <v>232</v>
      </c>
    </row>
    <row r="94" spans="3:7" s="12" customFormat="1" x14ac:dyDescent="0.35">
      <c r="D94" s="18"/>
    </row>
    <row r="95" spans="3:7" s="12" customFormat="1" x14ac:dyDescent="0.35">
      <c r="C95" s="12" t="s">
        <v>123</v>
      </c>
      <c r="D95" s="362">
        <f>D92*365.25</f>
        <v>14152.61988556068</v>
      </c>
      <c r="E95" s="12" t="s">
        <v>233</v>
      </c>
    </row>
    <row r="96" spans="3:7" s="12" customFormat="1" x14ac:dyDescent="0.35">
      <c r="C96" s="12" t="s">
        <v>126</v>
      </c>
      <c r="D96" s="362">
        <f>D93*365.25</f>
        <v>1070.2168794248141</v>
      </c>
      <c r="E96" s="12" t="s">
        <v>233</v>
      </c>
    </row>
    <row r="97" spans="12:16" s="13" customFormat="1" x14ac:dyDescent="0.35"/>
    <row r="98" spans="12:16" s="13" customFormat="1" x14ac:dyDescent="0.35">
      <c r="L98" s="212"/>
      <c r="M98" s="212"/>
      <c r="N98" s="212"/>
      <c r="O98" s="212"/>
      <c r="P98" s="49"/>
    </row>
    <row r="99" spans="12:16" s="13" customFormat="1" x14ac:dyDescent="0.35">
      <c r="L99" s="213"/>
      <c r="M99" s="213"/>
      <c r="N99" s="213"/>
      <c r="O99" s="213"/>
      <c r="P99" s="49"/>
    </row>
    <row r="100" spans="12:16" s="13" customFormat="1" x14ac:dyDescent="0.35">
      <c r="L100" s="213"/>
      <c r="M100" s="213"/>
      <c r="N100" s="213"/>
      <c r="O100" s="213"/>
      <c r="P100" s="49"/>
    </row>
    <row r="101" spans="12:16" s="13" customFormat="1" x14ac:dyDescent="0.35">
      <c r="L101" s="213"/>
      <c r="M101" s="213"/>
      <c r="N101" s="213"/>
      <c r="O101" s="213"/>
      <c r="P101" s="49"/>
    </row>
    <row r="102" spans="12:16" s="13" customFormat="1" x14ac:dyDescent="0.35">
      <c r="L102" s="213"/>
      <c r="M102" s="213"/>
      <c r="N102" s="213"/>
      <c r="O102" s="213"/>
      <c r="P102" s="49"/>
    </row>
    <row r="103" spans="12:16" s="13" customFormat="1" x14ac:dyDescent="0.35">
      <c r="L103" s="49"/>
      <c r="M103" s="49"/>
      <c r="N103" s="49"/>
      <c r="O103" s="49"/>
      <c r="P103" s="49"/>
    </row>
    <row r="104" spans="12:16" s="13" customFormat="1" x14ac:dyDescent="0.35"/>
    <row r="105" spans="12:16" s="13" customFormat="1" x14ac:dyDescent="0.35"/>
    <row r="106" spans="12:16" s="13" customFormat="1" x14ac:dyDescent="0.35"/>
    <row r="107" spans="12:16" s="13" customFormat="1" x14ac:dyDescent="0.35"/>
    <row r="108" spans="12:16" s="13" customFormat="1" x14ac:dyDescent="0.35"/>
    <row r="109" spans="12:16" s="13" customFormat="1" x14ac:dyDescent="0.35"/>
    <row r="110" spans="12:16" s="13" customFormat="1" x14ac:dyDescent="0.35"/>
    <row r="111" spans="12:16" s="13" customFormat="1" x14ac:dyDescent="0.35"/>
    <row r="112" spans="12:16" s="13" customFormat="1" x14ac:dyDescent="0.35"/>
    <row r="113" s="13" customFormat="1" x14ac:dyDescent="0.35"/>
    <row r="114" s="13" customFormat="1" x14ac:dyDescent="0.35"/>
    <row r="115" s="13" customFormat="1" x14ac:dyDescent="0.35"/>
    <row r="116" s="13" customFormat="1" x14ac:dyDescent="0.35"/>
    <row r="117" s="13" customFormat="1" x14ac:dyDescent="0.35"/>
    <row r="118" s="13" customFormat="1" x14ac:dyDescent="0.35"/>
    <row r="119" s="13" customFormat="1" x14ac:dyDescent="0.35"/>
    <row r="120" s="13" customFormat="1" x14ac:dyDescent="0.35"/>
    <row r="121" s="13" customFormat="1" x14ac:dyDescent="0.35"/>
    <row r="122" s="13" customFormat="1" x14ac:dyDescent="0.35"/>
  </sheetData>
  <sheetProtection password="CD8A" sheet="1" objects="1" scenarios="1"/>
  <pageMargins left="0.7" right="0.7" top="0.75" bottom="0.75" header="0.3" footer="0.3"/>
  <pageSetup paperSize="9" orientation="portrait" horizontalDpi="300" verticalDpi="300" r:id="rId1"/>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R48"/>
  <sheetViews>
    <sheetView workbookViewId="0">
      <pane ySplit="1" topLeftCell="A2" activePane="bottomLeft" state="frozen"/>
      <selection activeCell="E1" sqref="E1"/>
      <selection pane="bottomLeft" activeCell="D1" sqref="D1"/>
    </sheetView>
  </sheetViews>
  <sheetFormatPr defaultColWidth="9.1796875" defaultRowHeight="14.5" x14ac:dyDescent="0.35"/>
  <cols>
    <col min="1" max="1" width="2.453125" style="2" customWidth="1"/>
    <col min="2" max="2" width="9.1796875" style="2"/>
    <col min="3" max="3" width="11.453125" style="2" customWidth="1"/>
    <col min="4" max="5" width="9.1796875" style="2"/>
    <col min="6" max="6" width="12.36328125" style="2" customWidth="1"/>
    <col min="7" max="7" width="11.1796875" style="2" customWidth="1"/>
    <col min="8" max="8" width="9.1796875" style="2"/>
    <col min="9" max="9" width="11.453125" style="2" customWidth="1"/>
    <col min="10" max="10" width="9.1796875" style="2"/>
    <col min="11" max="11" width="7.6328125" style="2" customWidth="1"/>
    <col min="12" max="12" width="2.453125" style="2" customWidth="1"/>
    <col min="13" max="13" width="3.453125" style="2" customWidth="1"/>
    <col min="14" max="16384" width="9.1796875" style="2"/>
  </cols>
  <sheetData>
    <row r="1" spans="1:16" s="408" customFormat="1" ht="27" customHeight="1" x14ac:dyDescent="0.35">
      <c r="D1" s="409" t="s">
        <v>286</v>
      </c>
      <c r="N1" s="886" t="s">
        <v>299</v>
      </c>
      <c r="O1" s="886"/>
      <c r="P1" s="886"/>
    </row>
    <row r="2" spans="1:16" s="1" customFormat="1" ht="14.25" customHeight="1" x14ac:dyDescent="0.35">
      <c r="A2" s="3"/>
      <c r="B2" s="4"/>
    </row>
    <row r="3" spans="1:16" ht="22.5" customHeight="1" x14ac:dyDescent="0.5">
      <c r="A3" s="130"/>
      <c r="B3" s="131" t="s">
        <v>40</v>
      </c>
    </row>
    <row r="4" spans="1:16" ht="39" x14ac:dyDescent="0.35">
      <c r="A4" s="132"/>
      <c r="B4" s="133" t="s">
        <v>287</v>
      </c>
      <c r="C4" s="133" t="s">
        <v>107</v>
      </c>
      <c r="D4" s="133" t="s">
        <v>108</v>
      </c>
      <c r="E4" s="134"/>
      <c r="F4" s="135" t="s">
        <v>288</v>
      </c>
      <c r="G4" s="133"/>
      <c r="H4" s="133" t="s">
        <v>107</v>
      </c>
      <c r="I4" s="133"/>
      <c r="J4" s="133" t="s">
        <v>289</v>
      </c>
      <c r="K4" s="134"/>
      <c r="L4" s="132"/>
    </row>
    <row r="5" spans="1:16" ht="14.25" customHeight="1" thickBot="1" x14ac:dyDescent="0.4">
      <c r="A5" s="132"/>
      <c r="B5" s="194">
        <f>Energiantarve!F20</f>
        <v>833.33333333333337</v>
      </c>
      <c r="C5" s="167">
        <f>Energiantarve!G20</f>
        <v>2100</v>
      </c>
      <c r="D5" s="475">
        <f>Energiantarve!K20</f>
        <v>0.19</v>
      </c>
      <c r="F5" s="136">
        <f>IF(J5=0,0,C5/J5)</f>
        <v>5.7534246575342465</v>
      </c>
      <c r="G5" s="137"/>
      <c r="H5" s="137">
        <f>C5*(383*E5+242*D5+783.2)/3140</f>
        <v>554.54713375796189</v>
      </c>
      <c r="I5" s="138"/>
      <c r="J5" s="139">
        <v>365</v>
      </c>
    </row>
    <row r="6" spans="1:16" ht="14.25" customHeight="1" x14ac:dyDescent="0.35">
      <c r="A6" s="132"/>
      <c r="B6" s="140" t="s">
        <v>290</v>
      </c>
      <c r="C6" s="141"/>
      <c r="D6" s="142"/>
      <c r="E6" s="141" t="s">
        <v>291</v>
      </c>
      <c r="F6" s="142"/>
      <c r="G6" s="141"/>
      <c r="H6" s="141"/>
      <c r="I6" s="143"/>
      <c r="J6" s="141"/>
      <c r="K6" s="144"/>
    </row>
    <row r="7" spans="1:16" ht="14.25" customHeight="1" x14ac:dyDescent="0.35">
      <c r="A7" s="132"/>
      <c r="B7" s="145" t="s">
        <v>292</v>
      </c>
      <c r="C7" s="146"/>
      <c r="D7" s="132"/>
      <c r="E7" s="147">
        <f>B5^0.75*0.515*J5+(B5^0.75*0.515*J5*D5)</f>
        <v>34694.538930627255</v>
      </c>
      <c r="F7" s="148"/>
      <c r="G7" s="147"/>
      <c r="H7" s="146"/>
      <c r="I7" s="148"/>
      <c r="J7" s="146"/>
      <c r="K7" s="149"/>
    </row>
    <row r="8" spans="1:16" ht="14.25" customHeight="1" x14ac:dyDescent="0.35">
      <c r="A8" s="132"/>
      <c r="B8" s="145" t="s">
        <v>293</v>
      </c>
      <c r="C8" s="146"/>
      <c r="D8" s="146"/>
      <c r="E8" s="147">
        <f>5.15*H5</f>
        <v>2855.917738853504</v>
      </c>
      <c r="F8" s="150"/>
      <c r="G8" s="151"/>
      <c r="H8" s="150"/>
      <c r="I8" s="150"/>
      <c r="J8" s="150"/>
      <c r="K8" s="152"/>
    </row>
    <row r="9" spans="1:16" ht="14.25" customHeight="1" x14ac:dyDescent="0.35">
      <c r="A9" s="132"/>
      <c r="B9" s="145" t="s">
        <v>294</v>
      </c>
      <c r="C9" s="146"/>
      <c r="D9" s="146"/>
      <c r="E9" s="147">
        <f>(11+19+34)*30.5</f>
        <v>1952</v>
      </c>
      <c r="F9" s="153"/>
      <c r="G9" s="147"/>
      <c r="H9" s="146"/>
      <c r="I9" s="146"/>
      <c r="J9" s="146"/>
      <c r="K9" s="149"/>
    </row>
    <row r="10" spans="1:16" ht="14.25" customHeight="1" thickBot="1" x14ac:dyDescent="0.4">
      <c r="A10" s="132"/>
      <c r="B10" s="154" t="s">
        <v>295</v>
      </c>
      <c r="C10" s="155"/>
      <c r="D10" s="155"/>
      <c r="E10" s="156">
        <f>SUM(E7:E9)</f>
        <v>39502.456669480758</v>
      </c>
      <c r="F10" s="157"/>
      <c r="G10" s="158"/>
      <c r="H10" s="155"/>
      <c r="I10" s="155"/>
      <c r="J10" s="155"/>
      <c r="K10" s="159"/>
    </row>
    <row r="11" spans="1:16" s="1" customFormat="1" ht="14.25" customHeight="1" x14ac:dyDescent="0.35">
      <c r="A11" s="3"/>
      <c r="B11" s="4"/>
    </row>
    <row r="12" spans="1:16" ht="22.5" customHeight="1" x14ac:dyDescent="0.5">
      <c r="A12" s="130"/>
      <c r="B12" s="131" t="s">
        <v>296</v>
      </c>
    </row>
    <row r="13" spans="1:16" ht="39" x14ac:dyDescent="0.35">
      <c r="A13" s="132"/>
      <c r="B13" s="133" t="s">
        <v>287</v>
      </c>
      <c r="C13" s="133" t="s">
        <v>107</v>
      </c>
      <c r="D13" s="133" t="s">
        <v>108</v>
      </c>
      <c r="E13" s="134"/>
      <c r="F13" s="135" t="s">
        <v>288</v>
      </c>
      <c r="G13" s="133"/>
      <c r="H13" s="133" t="s">
        <v>107</v>
      </c>
      <c r="I13" s="133"/>
      <c r="J13" s="133" t="s">
        <v>289</v>
      </c>
      <c r="K13" s="133"/>
      <c r="L13" s="132"/>
    </row>
    <row r="14" spans="1:16" ht="15" thickBot="1" x14ac:dyDescent="0.4">
      <c r="A14" s="132"/>
      <c r="B14" s="160">
        <v>850</v>
      </c>
      <c r="C14" s="160">
        <f>7*300</f>
        <v>2100</v>
      </c>
      <c r="D14" s="161">
        <v>0.19</v>
      </c>
      <c r="F14" s="136">
        <f>C14/J14</f>
        <v>5.7534246575342465</v>
      </c>
      <c r="G14" s="137"/>
      <c r="H14" s="137">
        <f>C14*(383*E14+242*D14+783.2)/3140</f>
        <v>554.54713375796189</v>
      </c>
      <c r="I14" s="162"/>
      <c r="J14" s="163">
        <v>365</v>
      </c>
      <c r="K14" s="164"/>
      <c r="L14" s="132"/>
    </row>
    <row r="15" spans="1:16" x14ac:dyDescent="0.35">
      <c r="A15" s="132"/>
      <c r="B15" s="140" t="s">
        <v>290</v>
      </c>
      <c r="C15" s="141"/>
      <c r="D15" s="142"/>
      <c r="E15" s="141" t="s">
        <v>291</v>
      </c>
      <c r="F15" s="142"/>
      <c r="G15" s="141"/>
      <c r="H15" s="141"/>
      <c r="I15" s="143"/>
      <c r="J15" s="141"/>
      <c r="K15" s="144"/>
      <c r="L15" s="132"/>
    </row>
    <row r="16" spans="1:16" x14ac:dyDescent="0.35">
      <c r="A16" s="132"/>
      <c r="B16" s="145" t="s">
        <v>292</v>
      </c>
      <c r="C16" s="146"/>
      <c r="D16" s="132"/>
      <c r="E16" s="147">
        <f>B14^0.75*0.515*J14+(B14^0.75*0.515*J14*D14)</f>
        <v>35213.666691010709</v>
      </c>
      <c r="F16" s="148"/>
      <c r="G16" s="147"/>
      <c r="H16" s="146"/>
      <c r="I16" s="881" t="s">
        <v>297</v>
      </c>
      <c r="J16" s="881"/>
      <c r="K16" s="882"/>
      <c r="L16" s="132"/>
    </row>
    <row r="17" spans="1:12" x14ac:dyDescent="0.35">
      <c r="A17" s="132"/>
      <c r="B17" s="145" t="s">
        <v>293</v>
      </c>
      <c r="C17" s="146"/>
      <c r="D17" s="146"/>
      <c r="E17" s="147">
        <f>5.15*H14</f>
        <v>2855.917738853504</v>
      </c>
      <c r="F17" s="150"/>
      <c r="G17" s="151"/>
      <c r="H17" s="150"/>
      <c r="I17" s="881" t="s">
        <v>298</v>
      </c>
      <c r="J17" s="881"/>
      <c r="K17" s="882"/>
      <c r="L17" s="132"/>
    </row>
    <row r="18" spans="1:12" x14ac:dyDescent="0.35">
      <c r="A18" s="132"/>
      <c r="B18" s="145" t="s">
        <v>294</v>
      </c>
      <c r="C18" s="146"/>
      <c r="D18" s="146"/>
      <c r="E18" s="147">
        <f>(11+19+34)*30.5</f>
        <v>1952</v>
      </c>
      <c r="F18" s="153"/>
      <c r="G18" s="147"/>
      <c r="H18" s="146"/>
      <c r="I18" s="883" t="s">
        <v>299</v>
      </c>
      <c r="J18" s="883"/>
      <c r="K18" s="884"/>
      <c r="L18" s="132"/>
    </row>
    <row r="19" spans="1:12" ht="15" thickBot="1" x14ac:dyDescent="0.4">
      <c r="A19" s="132"/>
      <c r="B19" s="154" t="s">
        <v>295</v>
      </c>
      <c r="C19" s="155"/>
      <c r="D19" s="155"/>
      <c r="E19" s="156">
        <f>SUM(E16:E18)</f>
        <v>40021.584429864211</v>
      </c>
      <c r="F19" s="157"/>
      <c r="G19" s="158"/>
      <c r="H19" s="155"/>
      <c r="I19" s="155"/>
      <c r="J19" s="155"/>
      <c r="K19" s="159"/>
      <c r="L19" s="132"/>
    </row>
    <row r="20" spans="1:12" x14ac:dyDescent="0.35">
      <c r="A20" s="132"/>
      <c r="B20" s="132"/>
      <c r="C20" s="132"/>
      <c r="D20" s="132"/>
      <c r="E20" s="132"/>
      <c r="F20" s="132"/>
      <c r="G20" s="132"/>
      <c r="H20" s="132"/>
      <c r="I20" s="132"/>
      <c r="J20" s="132"/>
      <c r="K20" s="132"/>
      <c r="L20" s="132"/>
    </row>
    <row r="21" spans="1:12" x14ac:dyDescent="0.35">
      <c r="A21" s="132"/>
      <c r="B21" s="132"/>
      <c r="C21" s="132"/>
      <c r="D21" s="132"/>
      <c r="E21" s="132"/>
      <c r="F21" s="132"/>
      <c r="G21" s="132"/>
      <c r="H21" s="132"/>
      <c r="I21" s="132"/>
      <c r="J21" s="132"/>
      <c r="K21" s="132"/>
      <c r="L21" s="132"/>
    </row>
    <row r="22" spans="1:12" x14ac:dyDescent="0.35">
      <c r="A22" s="132"/>
      <c r="B22" s="132"/>
      <c r="C22" s="132"/>
      <c r="D22" s="132"/>
      <c r="E22" s="132"/>
      <c r="F22" s="132"/>
      <c r="G22" s="132"/>
      <c r="H22" s="132"/>
      <c r="I22" s="132"/>
      <c r="J22" s="132"/>
      <c r="K22" s="132"/>
      <c r="L22" s="132"/>
    </row>
    <row r="23" spans="1:12" x14ac:dyDescent="0.35">
      <c r="A23" s="132"/>
      <c r="B23" s="132"/>
      <c r="C23" s="132"/>
      <c r="D23" s="132"/>
      <c r="E23" s="132"/>
      <c r="F23" s="132"/>
      <c r="G23" s="132"/>
      <c r="H23" s="132"/>
      <c r="I23" s="132"/>
      <c r="J23" s="132"/>
      <c r="K23" s="132"/>
      <c r="L23" s="132"/>
    </row>
    <row r="24" spans="1:12" x14ac:dyDescent="0.35">
      <c r="A24" s="132"/>
      <c r="B24" s="132"/>
      <c r="C24" s="132"/>
      <c r="D24" s="132"/>
      <c r="E24" s="132"/>
      <c r="F24" s="132"/>
      <c r="G24" s="132"/>
      <c r="H24" s="132"/>
      <c r="I24" s="132"/>
      <c r="J24" s="132"/>
      <c r="K24" s="132"/>
      <c r="L24" s="132"/>
    </row>
    <row r="25" spans="1:12" x14ac:dyDescent="0.35">
      <c r="A25" s="132"/>
      <c r="B25" s="132"/>
      <c r="C25" s="132"/>
      <c r="D25" s="132"/>
      <c r="E25" s="132"/>
      <c r="F25" s="132"/>
      <c r="G25" s="132"/>
      <c r="H25" s="132"/>
      <c r="I25" s="132"/>
      <c r="J25" s="132"/>
      <c r="K25" s="132"/>
      <c r="L25" s="132"/>
    </row>
    <row r="27" spans="1:12" x14ac:dyDescent="0.35">
      <c r="H27" s="885" t="s">
        <v>299</v>
      </c>
      <c r="I27" s="885"/>
      <c r="J27" s="165"/>
    </row>
    <row r="43" spans="14:18" x14ac:dyDescent="0.35">
      <c r="N43" s="212"/>
      <c r="O43" s="212"/>
      <c r="P43" s="212"/>
      <c r="Q43" s="212"/>
      <c r="R43" s="49"/>
    </row>
    <row r="44" spans="14:18" x14ac:dyDescent="0.35">
      <c r="N44" s="213"/>
      <c r="O44" s="213"/>
      <c r="P44" s="213"/>
      <c r="Q44" s="213"/>
      <c r="R44" s="49"/>
    </row>
    <row r="45" spans="14:18" x14ac:dyDescent="0.35">
      <c r="N45" s="213"/>
      <c r="O45" s="213"/>
      <c r="P45" s="213"/>
      <c r="Q45" s="213"/>
      <c r="R45" s="49"/>
    </row>
    <row r="46" spans="14:18" x14ac:dyDescent="0.35">
      <c r="N46" s="213"/>
      <c r="O46" s="213"/>
      <c r="P46" s="213"/>
      <c r="Q46" s="213"/>
      <c r="R46" s="49"/>
    </row>
    <row r="47" spans="14:18" x14ac:dyDescent="0.35">
      <c r="N47" s="213"/>
      <c r="O47" s="213"/>
      <c r="P47" s="213"/>
      <c r="Q47" s="213"/>
      <c r="R47" s="49"/>
    </row>
    <row r="48" spans="14:18" x14ac:dyDescent="0.35">
      <c r="N48" s="49"/>
      <c r="O48" s="49"/>
      <c r="P48" s="49"/>
      <c r="Q48" s="49"/>
      <c r="R48" s="49"/>
    </row>
  </sheetData>
  <sheetProtection password="CD8A" sheet="1" objects="1" scenarios="1"/>
  <mergeCells count="5">
    <mergeCell ref="I16:K16"/>
    <mergeCell ref="I17:K17"/>
    <mergeCell ref="I18:K18"/>
    <mergeCell ref="H27:I27"/>
    <mergeCell ref="N1:P1"/>
  </mergeCells>
  <hyperlinks>
    <hyperlink ref="I18" r:id="rId1" xr:uid="{00000000-0004-0000-1200-000000000000}"/>
    <hyperlink ref="H27" r:id="rId2" xr:uid="{00000000-0004-0000-1200-000001000000}"/>
    <hyperlink ref="I18:K18" r:id="rId3" display="Luke.fi/rehutaulukot" xr:uid="{00000000-0004-0000-1200-000002000000}"/>
    <hyperlink ref="H27:I27" r:id="rId4" display="Luke.fi/rehutaulukot" xr:uid="{00000000-0004-0000-1200-000003000000}"/>
    <hyperlink ref="N1" r:id="rId5" xr:uid="{00000000-0004-0000-1200-000004000000}"/>
    <hyperlink ref="N1:P1" r:id="rId6" display="Luke.fi/rehutaulukot" xr:uid="{00000000-0004-0000-1200-000005000000}"/>
  </hyperlinks>
  <pageMargins left="0.23622047244094491" right="0.23622047244094491" top="0.74803149606299213" bottom="1.1417322834645669" header="0.31496062992125984" footer="0.31496062992125984"/>
  <pageSetup paperSize="9" scale="90" orientation="portrait" r:id="rId7"/>
  <drawing r:id="rId8"/>
  <legacyDrawing r:id="rId9"/>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J56"/>
  <sheetViews>
    <sheetView workbookViewId="0">
      <pane ySplit="10" topLeftCell="A11" activePane="bottomLeft" state="frozen"/>
      <selection activeCell="E1" sqref="E1"/>
      <selection pane="bottomLeft" activeCell="D1" sqref="D1"/>
    </sheetView>
  </sheetViews>
  <sheetFormatPr defaultColWidth="12.453125" defaultRowHeight="15.5" x14ac:dyDescent="0.35"/>
  <cols>
    <col min="1" max="1" width="2.6328125" style="468" customWidth="1"/>
    <col min="2" max="11" width="8.6328125" style="447" customWidth="1"/>
    <col min="12" max="12" width="2.6328125" style="467" customWidth="1"/>
    <col min="13" max="13" width="20" style="467" customWidth="1"/>
    <col min="14" max="22" width="10.6328125" style="467" customWidth="1"/>
    <col min="23" max="23" width="2.6328125" style="467" customWidth="1"/>
    <col min="24" max="24" width="10.6328125" style="467" customWidth="1"/>
    <col min="25" max="16384" width="12.453125" style="467"/>
  </cols>
  <sheetData>
    <row r="1" spans="1:36" s="439" customFormat="1" ht="27" customHeight="1" x14ac:dyDescent="0.35">
      <c r="D1" s="440" t="s">
        <v>643</v>
      </c>
      <c r="N1" s="408" t="s">
        <v>693</v>
      </c>
    </row>
    <row r="2" spans="1:36" s="444" customFormat="1" ht="14.25" customHeight="1" x14ac:dyDescent="0.35">
      <c r="A2" s="442"/>
      <c r="B2" s="443"/>
    </row>
    <row r="3" spans="1:36" ht="21" x14ac:dyDescent="0.5">
      <c r="B3" s="446" t="s">
        <v>40</v>
      </c>
      <c r="E3" s="450" t="str">
        <f>VLOOKUP(B5,M5:N7,2)</f>
        <v>Keskikokoinen: Angus (ab) ja Hereford (hf)</v>
      </c>
      <c r="L3" s="474"/>
      <c r="M3" s="474"/>
      <c r="N3" s="474"/>
      <c r="O3" s="474"/>
      <c r="P3" s="474"/>
      <c r="Q3" s="474"/>
      <c r="R3" s="474"/>
      <c r="S3" s="474"/>
      <c r="T3" s="474"/>
      <c r="U3" s="474"/>
      <c r="V3" s="474"/>
      <c r="W3" s="474"/>
      <c r="X3" s="474"/>
      <c r="Y3" s="474"/>
      <c r="Z3" s="474"/>
      <c r="AA3" s="474"/>
      <c r="AB3" s="474"/>
      <c r="AC3" s="474"/>
      <c r="AD3" s="474"/>
      <c r="AE3" s="474"/>
      <c r="AF3" s="474"/>
      <c r="AG3" s="474"/>
      <c r="AH3" s="474"/>
      <c r="AI3" s="474"/>
      <c r="AJ3" s="474"/>
    </row>
    <row r="4" spans="1:36" ht="39" x14ac:dyDescent="0.35">
      <c r="B4" s="133" t="s">
        <v>657</v>
      </c>
      <c r="C4" s="490" t="s">
        <v>662</v>
      </c>
      <c r="E4" s="133" t="s">
        <v>659</v>
      </c>
      <c r="F4" s="133" t="s">
        <v>660</v>
      </c>
      <c r="K4" s="133" t="s">
        <v>307</v>
      </c>
      <c r="L4" s="474"/>
      <c r="M4" s="474"/>
      <c r="N4" s="485" t="s">
        <v>657</v>
      </c>
      <c r="O4" s="474"/>
      <c r="P4" s="474"/>
      <c r="Q4" s="474"/>
      <c r="R4" s="133" t="s">
        <v>658</v>
      </c>
      <c r="S4" s="133" t="s">
        <v>662</v>
      </c>
      <c r="T4" s="474"/>
      <c r="U4" s="474"/>
      <c r="V4" s="474"/>
      <c r="W4" s="474"/>
      <c r="X4" s="474"/>
      <c r="Y4" s="474"/>
      <c r="Z4" s="474"/>
      <c r="AA4" s="474"/>
      <c r="AB4" s="474"/>
      <c r="AC4" s="474"/>
      <c r="AD4" s="474"/>
      <c r="AE4" s="474"/>
      <c r="AF4" s="474"/>
      <c r="AG4" s="474"/>
      <c r="AH4" s="474"/>
      <c r="AI4" s="474"/>
      <c r="AJ4" s="474"/>
    </row>
    <row r="5" spans="1:36" ht="16" thickBot="1" x14ac:dyDescent="0.4">
      <c r="B5" s="167">
        <f>Energiantarve!$F$26</f>
        <v>1</v>
      </c>
      <c r="C5" s="167">
        <f>VLOOKUP(B5,M5:S7,7)</f>
        <v>600</v>
      </c>
      <c r="E5" s="24">
        <v>24</v>
      </c>
      <c r="F5" s="166">
        <f>E5*30</f>
        <v>720</v>
      </c>
      <c r="K5" s="167">
        <f>VLOOKUP(B5,M5:S7,6)</f>
        <v>41809.567566275859</v>
      </c>
      <c r="L5" s="474"/>
      <c r="M5" s="480">
        <v>1</v>
      </c>
      <c r="N5" s="486" t="s">
        <v>644</v>
      </c>
      <c r="O5" s="487"/>
      <c r="P5" s="487"/>
      <c r="Q5" s="487"/>
      <c r="R5" s="489">
        <f>X18</f>
        <v>41809.567566275859</v>
      </c>
      <c r="S5" s="488">
        <f>U17</f>
        <v>600</v>
      </c>
      <c r="T5" s="474"/>
      <c r="U5" s="474"/>
      <c r="V5" s="474"/>
      <c r="W5" s="474"/>
      <c r="X5" s="474"/>
      <c r="Y5" s="474"/>
      <c r="Z5" s="474"/>
      <c r="AA5" s="474"/>
      <c r="AB5" s="474"/>
      <c r="AC5" s="474"/>
      <c r="AD5" s="474"/>
      <c r="AE5" s="474"/>
      <c r="AF5" s="474"/>
      <c r="AG5" s="474"/>
      <c r="AH5" s="474"/>
      <c r="AI5" s="474"/>
      <c r="AJ5" s="474"/>
    </row>
    <row r="6" spans="1:36" x14ac:dyDescent="0.35">
      <c r="B6" s="140" t="s">
        <v>637</v>
      </c>
      <c r="C6" s="141"/>
      <c r="D6" s="142"/>
      <c r="E6" s="141" t="s">
        <v>291</v>
      </c>
      <c r="F6" s="142"/>
      <c r="G6" s="141"/>
      <c r="H6" s="141"/>
      <c r="I6" s="141"/>
      <c r="J6" s="141"/>
      <c r="K6" s="144"/>
      <c r="L6" s="474"/>
      <c r="M6" s="480">
        <v>2</v>
      </c>
      <c r="N6" s="486" t="s">
        <v>645</v>
      </c>
      <c r="O6" s="487"/>
      <c r="P6" s="487"/>
      <c r="Q6" s="487"/>
      <c r="R6" s="489">
        <f>X25</f>
        <v>46058.789773702905</v>
      </c>
      <c r="S6" s="488">
        <f>V24</f>
        <v>650</v>
      </c>
      <c r="T6" s="474"/>
      <c r="U6" s="474"/>
      <c r="V6" s="474"/>
      <c r="W6" s="474"/>
      <c r="X6" s="474"/>
      <c r="Y6" s="474"/>
      <c r="Z6" s="474"/>
      <c r="AA6" s="474"/>
      <c r="AB6" s="474"/>
      <c r="AC6" s="474"/>
      <c r="AD6" s="474"/>
      <c r="AE6" s="474"/>
      <c r="AF6" s="474"/>
      <c r="AG6" s="474"/>
      <c r="AH6" s="474"/>
      <c r="AI6" s="474"/>
      <c r="AJ6" s="474"/>
    </row>
    <row r="7" spans="1:36" x14ac:dyDescent="0.35">
      <c r="B7" s="145" t="s">
        <v>309</v>
      </c>
      <c r="C7" s="146"/>
      <c r="D7" s="132"/>
      <c r="E7" s="170">
        <f>K5</f>
        <v>41809.567566275859</v>
      </c>
      <c r="F7" s="148"/>
      <c r="G7" s="147"/>
      <c r="H7" s="146"/>
      <c r="I7" s="146"/>
      <c r="J7" s="146"/>
      <c r="K7" s="149"/>
      <c r="L7" s="474"/>
      <c r="M7" s="480">
        <v>3</v>
      </c>
      <c r="N7" s="486" t="s">
        <v>646</v>
      </c>
      <c r="O7" s="487"/>
      <c r="P7" s="487"/>
      <c r="Q7" s="487"/>
      <c r="R7" s="489">
        <f>X32</f>
        <v>44924.789773702905</v>
      </c>
      <c r="S7" s="488">
        <f>V31</f>
        <v>650</v>
      </c>
      <c r="T7" s="474"/>
      <c r="U7" s="474"/>
      <c r="V7" s="474"/>
      <c r="W7" s="474"/>
      <c r="X7" s="474"/>
      <c r="Y7" s="474"/>
      <c r="Z7" s="474"/>
      <c r="AA7" s="474"/>
      <c r="AB7" s="474"/>
      <c r="AC7" s="474"/>
      <c r="AD7" s="474"/>
      <c r="AE7" s="474"/>
      <c r="AF7" s="474"/>
      <c r="AG7" s="474"/>
      <c r="AH7" s="474"/>
      <c r="AI7" s="474"/>
      <c r="AJ7" s="474"/>
    </row>
    <row r="8" spans="1:36" x14ac:dyDescent="0.35">
      <c r="B8" s="145"/>
      <c r="C8" s="146"/>
      <c r="D8" s="146"/>
      <c r="E8" s="170"/>
      <c r="F8" s="153"/>
      <c r="G8" s="147"/>
      <c r="H8" s="146"/>
      <c r="I8" s="146"/>
      <c r="J8" s="146"/>
      <c r="K8" s="149"/>
      <c r="L8" s="474"/>
      <c r="M8" s="474"/>
      <c r="N8" s="474"/>
      <c r="O8" s="474"/>
      <c r="P8" s="474"/>
      <c r="Q8" s="474"/>
      <c r="R8" s="474"/>
      <c r="S8" s="474"/>
      <c r="T8" s="474"/>
      <c r="U8" s="474"/>
      <c r="V8" s="474"/>
      <c r="W8" s="474"/>
      <c r="X8" s="474"/>
      <c r="Y8" s="474"/>
      <c r="Z8" s="474"/>
      <c r="AA8" s="474"/>
      <c r="AB8" s="474"/>
      <c r="AC8" s="474"/>
      <c r="AD8" s="474"/>
      <c r="AE8" s="474"/>
      <c r="AF8" s="474"/>
      <c r="AG8" s="474"/>
      <c r="AH8" s="474"/>
      <c r="AI8" s="474"/>
      <c r="AJ8" s="474"/>
    </row>
    <row r="9" spans="1:36" ht="16" thickBot="1" x14ac:dyDescent="0.4">
      <c r="B9" s="154" t="s">
        <v>295</v>
      </c>
      <c r="C9" s="155"/>
      <c r="D9" s="155"/>
      <c r="E9" s="156">
        <f>SUM(E7:E8)</f>
        <v>41809.567566275859</v>
      </c>
      <c r="F9" s="157"/>
      <c r="G9" s="158"/>
      <c r="H9" s="155"/>
      <c r="I9" s="155"/>
      <c r="J9" s="155"/>
      <c r="K9" s="159"/>
      <c r="L9" s="474"/>
      <c r="M9" s="474"/>
      <c r="N9" s="474"/>
      <c r="O9" s="474"/>
      <c r="P9" s="474"/>
      <c r="Q9" s="474"/>
      <c r="R9" s="474"/>
      <c r="S9" s="474"/>
      <c r="T9" s="474"/>
      <c r="U9" s="474"/>
      <c r="V9" s="474"/>
      <c r="W9" s="474"/>
      <c r="X9" s="474"/>
      <c r="Y9" s="474"/>
      <c r="Z9" s="474"/>
      <c r="AA9" s="474"/>
      <c r="AB9" s="474"/>
      <c r="AC9" s="474"/>
      <c r="AD9" s="474"/>
      <c r="AE9" s="474"/>
      <c r="AF9" s="474"/>
      <c r="AG9" s="474"/>
      <c r="AH9" s="474"/>
      <c r="AI9" s="474"/>
      <c r="AJ9" s="474"/>
    </row>
    <row r="10" spans="1:36" x14ac:dyDescent="0.35">
      <c r="L10" s="474"/>
      <c r="M10" s="474"/>
      <c r="N10" s="474"/>
      <c r="O10" s="474"/>
      <c r="P10" s="474"/>
      <c r="Q10" s="474"/>
      <c r="R10" s="474"/>
      <c r="S10" s="474"/>
      <c r="T10" s="474"/>
      <c r="U10" s="474"/>
      <c r="V10" s="474"/>
      <c r="W10" s="474"/>
      <c r="X10" s="474"/>
      <c r="Y10" s="474"/>
      <c r="Z10" s="474"/>
      <c r="AA10" s="474"/>
      <c r="AB10" s="474"/>
      <c r="AC10" s="474"/>
      <c r="AD10" s="474"/>
      <c r="AE10" s="474"/>
      <c r="AF10" s="474"/>
      <c r="AG10" s="474"/>
      <c r="AH10" s="474"/>
      <c r="AI10" s="474"/>
      <c r="AJ10" s="474"/>
    </row>
    <row r="11" spans="1:36" s="468" customFormat="1" x14ac:dyDescent="0.35">
      <c r="B11" s="443"/>
      <c r="C11" s="444"/>
      <c r="D11" s="444"/>
      <c r="E11" s="444"/>
      <c r="F11" s="444"/>
      <c r="G11" s="444"/>
      <c r="H11" s="444"/>
      <c r="I11" s="444"/>
      <c r="J11" s="444"/>
      <c r="K11" s="444"/>
    </row>
    <row r="12" spans="1:36" ht="21" x14ac:dyDescent="0.5">
      <c r="B12" s="446" t="s">
        <v>296</v>
      </c>
      <c r="L12" s="474"/>
      <c r="M12" s="474"/>
      <c r="N12" s="132"/>
      <c r="O12" s="132"/>
      <c r="P12" s="132"/>
      <c r="Q12" s="132"/>
      <c r="R12" s="132"/>
      <c r="S12" s="132"/>
      <c r="T12" s="132"/>
      <c r="U12" s="132"/>
      <c r="V12" s="132"/>
      <c r="W12" s="474"/>
      <c r="X12" s="474"/>
      <c r="Y12" s="474"/>
      <c r="Z12" s="474"/>
      <c r="AA12" s="474"/>
      <c r="AB12" s="474"/>
      <c r="AC12" s="474"/>
      <c r="AD12" s="474"/>
      <c r="AE12" s="474"/>
      <c r="AF12" s="474"/>
      <c r="AG12" s="474"/>
      <c r="AH12" s="474"/>
      <c r="AI12" s="474"/>
      <c r="AJ12" s="474"/>
    </row>
    <row r="13" spans="1:36" ht="39" x14ac:dyDescent="0.35">
      <c r="B13" s="133" t="s">
        <v>657</v>
      </c>
      <c r="C13" s="490" t="s">
        <v>662</v>
      </c>
      <c r="E13" s="133" t="s">
        <v>659</v>
      </c>
      <c r="F13" s="133" t="s">
        <v>660</v>
      </c>
      <c r="K13" s="133" t="s">
        <v>307</v>
      </c>
      <c r="L13" s="474"/>
      <c r="M13" s="474"/>
      <c r="N13" s="474"/>
      <c r="O13" s="474"/>
      <c r="P13" s="474"/>
      <c r="Q13" s="474"/>
      <c r="R13" s="474"/>
      <c r="S13" s="474"/>
      <c r="T13" s="474"/>
      <c r="U13" s="474"/>
      <c r="V13" s="474"/>
      <c r="W13" s="474"/>
      <c r="X13" s="474"/>
      <c r="Y13" s="474"/>
      <c r="Z13" s="474"/>
      <c r="AA13" s="474"/>
      <c r="AB13" s="474"/>
      <c r="AC13" s="474"/>
      <c r="AD13" s="474"/>
      <c r="AE13" s="474"/>
      <c r="AF13" s="474"/>
      <c r="AG13" s="474"/>
      <c r="AH13" s="474"/>
      <c r="AI13" s="474"/>
      <c r="AJ13" s="474"/>
    </row>
    <row r="14" spans="1:36" ht="16" thickBot="1" x14ac:dyDescent="0.4">
      <c r="B14" s="491">
        <v>1</v>
      </c>
      <c r="C14" s="167">
        <v>600</v>
      </c>
      <c r="E14" s="36">
        <v>24</v>
      </c>
      <c r="F14" s="166">
        <v>720</v>
      </c>
      <c r="K14" s="167">
        <v>41809.567566275859</v>
      </c>
      <c r="L14" s="474"/>
      <c r="M14" s="477" t="s">
        <v>654</v>
      </c>
      <c r="N14" s="474"/>
      <c r="O14" s="474"/>
      <c r="P14" s="474"/>
      <c r="Q14" s="474"/>
      <c r="R14" s="474"/>
      <c r="S14" s="474"/>
      <c r="T14" s="474"/>
      <c r="U14" s="474"/>
      <c r="V14" s="474"/>
      <c r="W14" s="474"/>
      <c r="X14" s="474"/>
      <c r="Y14" s="474"/>
      <c r="Z14" s="474"/>
      <c r="AA14" s="474"/>
      <c r="AB14" s="474"/>
      <c r="AC14" s="474"/>
      <c r="AD14" s="474"/>
      <c r="AE14" s="474"/>
      <c r="AF14" s="474"/>
      <c r="AG14" s="474"/>
      <c r="AH14" s="474"/>
      <c r="AI14" s="474"/>
      <c r="AJ14" s="474"/>
    </row>
    <row r="15" spans="1:36" x14ac:dyDescent="0.35">
      <c r="B15" s="140" t="s">
        <v>637</v>
      </c>
      <c r="C15" s="141"/>
      <c r="D15" s="142"/>
      <c r="E15" s="141" t="s">
        <v>291</v>
      </c>
      <c r="F15" s="142"/>
      <c r="G15" s="141"/>
      <c r="H15" s="141"/>
      <c r="I15" s="141"/>
      <c r="J15" s="141"/>
      <c r="K15" s="144"/>
      <c r="L15" s="474"/>
      <c r="M15" s="478" t="s">
        <v>106</v>
      </c>
      <c r="N15" s="479">
        <v>750</v>
      </c>
      <c r="O15" s="132"/>
      <c r="P15" s="132"/>
      <c r="Q15" s="132"/>
      <c r="R15" s="132" t="s">
        <v>650</v>
      </c>
      <c r="S15" s="132"/>
      <c r="T15" s="132" t="s">
        <v>651</v>
      </c>
      <c r="U15" s="132"/>
      <c r="V15" s="132"/>
      <c r="W15" s="474"/>
      <c r="X15" s="474"/>
      <c r="Y15" s="474"/>
      <c r="Z15" s="474"/>
      <c r="AA15" s="474"/>
      <c r="AB15" s="474"/>
      <c r="AC15" s="474"/>
      <c r="AD15" s="474"/>
      <c r="AE15" s="474"/>
      <c r="AF15" s="474"/>
      <c r="AG15" s="474"/>
      <c r="AH15" s="474"/>
      <c r="AI15" s="474"/>
      <c r="AJ15" s="474"/>
    </row>
    <row r="16" spans="1:36" ht="26" x14ac:dyDescent="0.35">
      <c r="B16" s="145" t="s">
        <v>309</v>
      </c>
      <c r="C16" s="146"/>
      <c r="D16" s="132"/>
      <c r="E16" s="170">
        <f>K14</f>
        <v>41809.567566275859</v>
      </c>
      <c r="F16" s="148"/>
      <c r="G16" s="147"/>
      <c r="H16" s="146"/>
      <c r="I16" s="881" t="s">
        <v>661</v>
      </c>
      <c r="J16" s="881"/>
      <c r="K16" s="882"/>
      <c r="L16" s="474"/>
      <c r="M16" s="476"/>
      <c r="N16" s="481" t="s">
        <v>647</v>
      </c>
      <c r="O16" s="482"/>
      <c r="P16" s="482"/>
      <c r="Q16" s="132" t="s">
        <v>648</v>
      </c>
      <c r="R16" s="132"/>
      <c r="S16" s="132"/>
      <c r="T16" s="132"/>
      <c r="U16" s="483" t="s">
        <v>649</v>
      </c>
      <c r="V16" s="132"/>
      <c r="W16" s="474"/>
      <c r="X16" s="133" t="s">
        <v>658</v>
      </c>
      <c r="Y16" s="474"/>
      <c r="Z16" s="474"/>
      <c r="AA16" s="474"/>
      <c r="AB16" s="474"/>
      <c r="AC16" s="474"/>
      <c r="AD16" s="474"/>
      <c r="AE16" s="474"/>
      <c r="AF16" s="474"/>
      <c r="AG16" s="474"/>
      <c r="AH16" s="474"/>
      <c r="AI16" s="474"/>
      <c r="AJ16" s="474"/>
    </row>
    <row r="17" spans="1:36" x14ac:dyDescent="0.35">
      <c r="B17" s="145"/>
      <c r="C17" s="146"/>
      <c r="D17" s="146"/>
      <c r="E17" s="170"/>
      <c r="F17" s="153"/>
      <c r="G17" s="147"/>
      <c r="H17" s="146"/>
      <c r="I17" s="881" t="s">
        <v>298</v>
      </c>
      <c r="J17" s="881"/>
      <c r="K17" s="882"/>
      <c r="L17" s="474"/>
      <c r="M17" s="469" t="s">
        <v>287</v>
      </c>
      <c r="N17" s="471">
        <v>250</v>
      </c>
      <c r="O17" s="471">
        <v>300</v>
      </c>
      <c r="P17" s="471">
        <v>350</v>
      </c>
      <c r="Q17" s="471">
        <v>400</v>
      </c>
      <c r="R17" s="471">
        <v>450</v>
      </c>
      <c r="S17" s="471">
        <v>500</v>
      </c>
      <c r="T17" s="471">
        <v>550</v>
      </c>
      <c r="U17" s="471">
        <v>600</v>
      </c>
      <c r="V17" s="474"/>
      <c r="W17" s="474"/>
      <c r="X17" s="474"/>
      <c r="Y17" s="474"/>
      <c r="Z17" s="474"/>
      <c r="AA17" s="474"/>
      <c r="AB17" s="474"/>
      <c r="AC17" s="474"/>
      <c r="AD17" s="474"/>
      <c r="AE17" s="474"/>
      <c r="AF17" s="474"/>
      <c r="AG17" s="474"/>
      <c r="AH17" s="474"/>
      <c r="AI17" s="474"/>
      <c r="AJ17" s="474"/>
    </row>
    <row r="18" spans="1:36" ht="16" thickBot="1" x14ac:dyDescent="0.4">
      <c r="B18" s="154" t="s">
        <v>295</v>
      </c>
      <c r="C18" s="155"/>
      <c r="D18" s="155"/>
      <c r="E18" s="156">
        <f>SUM(E16:E17)</f>
        <v>41809.567566275859</v>
      </c>
      <c r="F18" s="157"/>
      <c r="G18" s="158"/>
      <c r="H18" s="155"/>
      <c r="I18" s="887"/>
      <c r="J18" s="887"/>
      <c r="K18" s="888"/>
      <c r="L18" s="474"/>
      <c r="M18" s="470" t="s">
        <v>633</v>
      </c>
      <c r="N18" s="455">
        <v>64.67891081433558</v>
      </c>
      <c r="O18" s="455">
        <v>69.423436348381955</v>
      </c>
      <c r="P18" s="455">
        <v>73.97333548820464</v>
      </c>
      <c r="Q18" s="455">
        <v>78.363000336495674</v>
      </c>
      <c r="R18" s="455">
        <v>77.817217197920726</v>
      </c>
      <c r="S18" s="455">
        <v>81.954620067189069</v>
      </c>
      <c r="T18" s="455">
        <v>92.689680113014077</v>
      </c>
      <c r="U18" s="455">
        <v>96.633929094507636</v>
      </c>
      <c r="V18" s="474"/>
      <c r="W18" s="474"/>
      <c r="X18" s="484">
        <f>N18*90+O18*90+P18*90+Q18*54+R18*54+S18*54+T18*54+U18*54</f>
        <v>41809.567566275859</v>
      </c>
      <c r="Y18" s="474"/>
      <c r="Z18" s="474"/>
      <c r="AA18" s="474"/>
      <c r="AB18" s="474"/>
      <c r="AC18" s="474"/>
      <c r="AD18" s="474"/>
      <c r="AE18" s="474"/>
      <c r="AF18" s="474"/>
      <c r="AG18" s="474"/>
      <c r="AH18" s="474"/>
      <c r="AI18" s="474"/>
      <c r="AJ18" s="474"/>
    </row>
    <row r="19" spans="1:36" s="474" customFormat="1" x14ac:dyDescent="0.35">
      <c r="A19" s="468"/>
      <c r="B19" s="132"/>
      <c r="C19" s="132"/>
      <c r="D19" s="132"/>
      <c r="E19" s="132"/>
      <c r="F19" s="132"/>
      <c r="G19" s="132"/>
      <c r="H19" s="132"/>
      <c r="I19" s="132"/>
      <c r="J19" s="132"/>
      <c r="K19" s="132"/>
      <c r="M19" s="470" t="s">
        <v>634</v>
      </c>
      <c r="N19" s="472">
        <v>5.875</v>
      </c>
      <c r="O19" s="472">
        <v>7.05</v>
      </c>
      <c r="P19" s="472">
        <v>8.2249999999999996</v>
      </c>
      <c r="Q19" s="472">
        <v>9.6</v>
      </c>
      <c r="R19" s="472">
        <v>10.8</v>
      </c>
      <c r="S19" s="472">
        <v>12</v>
      </c>
      <c r="T19" s="472">
        <v>13.200000000000001</v>
      </c>
      <c r="U19" s="472">
        <v>14.4</v>
      </c>
    </row>
    <row r="20" spans="1:36" s="474" customFormat="1" x14ac:dyDescent="0.35">
      <c r="A20" s="468"/>
      <c r="B20" s="132"/>
      <c r="C20" s="132"/>
      <c r="D20" s="132"/>
      <c r="E20" s="132"/>
      <c r="F20" s="132"/>
      <c r="G20" s="132"/>
      <c r="H20" s="132"/>
      <c r="I20" s="132"/>
      <c r="J20" s="132"/>
      <c r="K20" s="132"/>
    </row>
    <row r="21" spans="1:36" s="474" customFormat="1" x14ac:dyDescent="0.35">
      <c r="A21" s="468"/>
      <c r="B21" s="132"/>
      <c r="C21" s="132"/>
      <c r="D21" s="132"/>
      <c r="E21" s="132"/>
      <c r="F21" s="132"/>
      <c r="G21" s="132"/>
      <c r="H21" s="132"/>
      <c r="I21" s="132"/>
      <c r="J21" s="132"/>
      <c r="K21" s="132"/>
      <c r="M21" s="477" t="s">
        <v>655</v>
      </c>
    </row>
    <row r="22" spans="1:36" s="474" customFormat="1" x14ac:dyDescent="0.35">
      <c r="A22" s="468"/>
      <c r="B22" s="132"/>
      <c r="C22" s="132"/>
      <c r="D22" s="132"/>
      <c r="E22" s="132"/>
      <c r="F22" s="132"/>
      <c r="G22" s="132"/>
      <c r="H22" s="132"/>
      <c r="I22" s="132"/>
      <c r="J22" s="132"/>
      <c r="K22" s="132"/>
      <c r="M22" s="478" t="s">
        <v>106</v>
      </c>
      <c r="N22" s="479">
        <v>900</v>
      </c>
      <c r="O22" s="132"/>
      <c r="P22" s="132"/>
      <c r="Q22" s="132"/>
      <c r="R22" s="132"/>
      <c r="S22" s="132" t="s">
        <v>652</v>
      </c>
      <c r="T22" s="132"/>
      <c r="U22" s="132" t="s">
        <v>653</v>
      </c>
      <c r="V22" s="132"/>
      <c r="X22" s="132"/>
    </row>
    <row r="23" spans="1:36" s="474" customFormat="1" ht="26" x14ac:dyDescent="0.35">
      <c r="A23" s="468"/>
      <c r="B23" s="132"/>
      <c r="C23" s="132"/>
      <c r="D23" s="132"/>
      <c r="E23" s="132"/>
      <c r="F23" s="132"/>
      <c r="G23" s="132"/>
      <c r="H23" s="132"/>
      <c r="I23" s="132"/>
      <c r="J23" s="132"/>
      <c r="K23" s="132"/>
      <c r="M23" s="476"/>
      <c r="N23" s="481" t="s">
        <v>647</v>
      </c>
      <c r="O23" s="482"/>
      <c r="P23" s="482"/>
      <c r="Q23" s="482"/>
      <c r="R23" s="132" t="s">
        <v>648</v>
      </c>
      <c r="S23" s="132"/>
      <c r="T23" s="132"/>
      <c r="U23" s="132"/>
      <c r="V23" s="483" t="s">
        <v>649</v>
      </c>
      <c r="X23" s="133" t="s">
        <v>658</v>
      </c>
    </row>
    <row r="24" spans="1:36" s="474" customFormat="1" x14ac:dyDescent="0.35">
      <c r="A24" s="468"/>
      <c r="M24" s="469" t="s">
        <v>287</v>
      </c>
      <c r="N24" s="471">
        <v>250</v>
      </c>
      <c r="O24" s="471">
        <v>300</v>
      </c>
      <c r="P24" s="471">
        <v>350</v>
      </c>
      <c r="Q24" s="471">
        <v>400</v>
      </c>
      <c r="R24" s="471">
        <v>450</v>
      </c>
      <c r="S24" s="471">
        <v>500</v>
      </c>
      <c r="T24" s="471">
        <v>550</v>
      </c>
      <c r="U24" s="471">
        <v>600</v>
      </c>
      <c r="V24" s="471">
        <v>650</v>
      </c>
    </row>
    <row r="25" spans="1:36" s="474" customFormat="1" x14ac:dyDescent="0.35">
      <c r="A25" s="468"/>
      <c r="M25" s="470" t="s">
        <v>633</v>
      </c>
      <c r="N25" s="455">
        <v>71.878910814335569</v>
      </c>
      <c r="O25" s="455">
        <v>76.623436348381944</v>
      </c>
      <c r="P25" s="455">
        <v>81.173335488204657</v>
      </c>
      <c r="Q25" s="455">
        <v>85.563000336495662</v>
      </c>
      <c r="R25" s="455">
        <v>89.817217197920726</v>
      </c>
      <c r="S25" s="455">
        <v>83.154620067189072</v>
      </c>
      <c r="T25" s="455">
        <v>87.189680113014077</v>
      </c>
      <c r="U25" s="455">
        <v>97.433929094507633</v>
      </c>
      <c r="V25" s="455">
        <v>101.29675115796475</v>
      </c>
      <c r="X25" s="484">
        <f>N25*67.5+O25*67.5+P25*67.5+Q25*67.5+R25*54+S25*54+T25*54+U25*54+V25*54</f>
        <v>46058.789773702905</v>
      </c>
    </row>
    <row r="26" spans="1:36" s="474" customFormat="1" x14ac:dyDescent="0.35">
      <c r="A26" s="468"/>
      <c r="M26" s="470" t="s">
        <v>634</v>
      </c>
      <c r="N26" s="472">
        <v>5.875</v>
      </c>
      <c r="O26" s="472">
        <v>7.05</v>
      </c>
      <c r="P26" s="472">
        <v>8.2249999999999996</v>
      </c>
      <c r="Q26" s="472">
        <v>9.6</v>
      </c>
      <c r="R26" s="472">
        <v>10.8</v>
      </c>
      <c r="S26" s="472">
        <v>12</v>
      </c>
      <c r="T26" s="472">
        <v>13.75</v>
      </c>
      <c r="U26" s="472">
        <v>14.4</v>
      </c>
      <c r="V26" s="472">
        <v>15.6</v>
      </c>
    </row>
    <row r="27" spans="1:36" s="474" customFormat="1" x14ac:dyDescent="0.35">
      <c r="A27" s="468"/>
      <c r="M27" s="12"/>
      <c r="N27" s="12"/>
      <c r="O27" s="12"/>
      <c r="P27" s="12"/>
      <c r="Q27" s="12"/>
      <c r="R27" s="12"/>
      <c r="S27" s="12"/>
      <c r="T27" s="12"/>
      <c r="U27" s="12"/>
      <c r="V27" s="12"/>
      <c r="X27" s="12"/>
    </row>
    <row r="28" spans="1:36" s="474" customFormat="1" x14ac:dyDescent="0.35">
      <c r="A28" s="468"/>
      <c r="M28" s="477" t="s">
        <v>656</v>
      </c>
      <c r="N28" s="12"/>
      <c r="O28" s="12"/>
      <c r="P28" s="12"/>
      <c r="Q28" s="12"/>
      <c r="R28" s="12"/>
      <c r="S28" s="12"/>
      <c r="T28" s="12"/>
      <c r="U28" s="12"/>
      <c r="V28" s="12"/>
      <c r="X28" s="12"/>
    </row>
    <row r="29" spans="1:36" s="474" customFormat="1" x14ac:dyDescent="0.35">
      <c r="A29" s="468"/>
      <c r="M29" s="478" t="s">
        <v>106</v>
      </c>
      <c r="N29" s="479">
        <v>850</v>
      </c>
      <c r="O29" s="132"/>
      <c r="P29" s="132"/>
      <c r="Q29" s="132"/>
      <c r="R29" s="132"/>
      <c r="S29" s="132" t="s">
        <v>652</v>
      </c>
      <c r="T29" s="132"/>
      <c r="U29" s="132" t="s">
        <v>653</v>
      </c>
      <c r="V29" s="132"/>
      <c r="X29" s="132"/>
    </row>
    <row r="30" spans="1:36" s="474" customFormat="1" ht="26" x14ac:dyDescent="0.35">
      <c r="A30" s="468"/>
      <c r="M30" s="476"/>
      <c r="N30" s="481" t="s">
        <v>647</v>
      </c>
      <c r="O30" s="482"/>
      <c r="P30" s="482"/>
      <c r="Q30" s="482"/>
      <c r="R30" s="132" t="s">
        <v>648</v>
      </c>
      <c r="S30" s="132"/>
      <c r="T30" s="132"/>
      <c r="U30" s="132"/>
      <c r="V30" s="483" t="s">
        <v>649</v>
      </c>
      <c r="X30" s="133" t="s">
        <v>658</v>
      </c>
    </row>
    <row r="31" spans="1:36" s="474" customFormat="1" x14ac:dyDescent="0.35">
      <c r="A31" s="468"/>
      <c r="M31" s="469" t="s">
        <v>287</v>
      </c>
      <c r="N31" s="471">
        <v>250</v>
      </c>
      <c r="O31" s="471">
        <v>300</v>
      </c>
      <c r="P31" s="471">
        <v>350</v>
      </c>
      <c r="Q31" s="471">
        <v>400</v>
      </c>
      <c r="R31" s="471">
        <v>450</v>
      </c>
      <c r="S31" s="471">
        <v>500</v>
      </c>
      <c r="T31" s="471">
        <v>550</v>
      </c>
      <c r="U31" s="471">
        <v>600</v>
      </c>
      <c r="V31" s="471">
        <v>650</v>
      </c>
    </row>
    <row r="32" spans="1:36" s="474" customFormat="1" x14ac:dyDescent="0.35">
      <c r="A32" s="468"/>
      <c r="M32" s="470" t="s">
        <v>633</v>
      </c>
      <c r="N32" s="455">
        <v>68.378910814335569</v>
      </c>
      <c r="O32" s="455">
        <v>73.123436348381944</v>
      </c>
      <c r="P32" s="455">
        <v>77.673335488204657</v>
      </c>
      <c r="Q32" s="455">
        <v>82.063000336495662</v>
      </c>
      <c r="R32" s="455">
        <v>86.317217197920726</v>
      </c>
      <c r="S32" s="455">
        <v>83.154620067189072</v>
      </c>
      <c r="T32" s="455">
        <v>87.189680113014077</v>
      </c>
      <c r="U32" s="455">
        <v>97.433929094507633</v>
      </c>
      <c r="V32" s="455">
        <v>101.29675115796475</v>
      </c>
      <c r="X32" s="484">
        <f>N32*67.5+O32*67.5+P32*67.5+Q32*67.5+R32*54+S32*54+T32*54+U32*54+V32*54</f>
        <v>44924.789773702905</v>
      </c>
    </row>
    <row r="33" spans="1:24" s="474" customFormat="1" x14ac:dyDescent="0.35">
      <c r="A33" s="468"/>
      <c r="M33" s="470" t="s">
        <v>634</v>
      </c>
      <c r="N33" s="472">
        <v>5.625</v>
      </c>
      <c r="O33" s="472">
        <v>6.8999999999999995</v>
      </c>
      <c r="P33" s="472">
        <v>8.0500000000000007</v>
      </c>
      <c r="Q33" s="472">
        <v>9.4</v>
      </c>
      <c r="R33" s="472">
        <v>10.574999999999999</v>
      </c>
      <c r="S33" s="472">
        <v>11.75</v>
      </c>
      <c r="T33" s="472">
        <v>13.200000000000001</v>
      </c>
      <c r="U33" s="472">
        <v>13.799999999999999</v>
      </c>
      <c r="V33" s="472">
        <v>14.95</v>
      </c>
    </row>
    <row r="34" spans="1:24" s="474" customFormat="1" x14ac:dyDescent="0.35">
      <c r="A34" s="468"/>
    </row>
    <row r="35" spans="1:24" s="474" customFormat="1" x14ac:dyDescent="0.35">
      <c r="A35" s="468"/>
      <c r="T35" s="457"/>
      <c r="U35" s="458"/>
      <c r="V35" s="458"/>
      <c r="W35" s="458"/>
      <c r="X35" s="459"/>
    </row>
    <row r="36" spans="1:24" s="474" customFormat="1" x14ac:dyDescent="0.35">
      <c r="A36" s="468"/>
      <c r="T36" s="460"/>
      <c r="U36" s="461"/>
      <c r="V36" s="461"/>
      <c r="W36" s="461"/>
      <c r="X36" s="459"/>
    </row>
    <row r="37" spans="1:24" s="474" customFormat="1" x14ac:dyDescent="0.35">
      <c r="A37" s="468"/>
      <c r="T37" s="460"/>
      <c r="U37" s="461"/>
      <c r="V37" s="461"/>
      <c r="W37" s="461"/>
      <c r="X37" s="459"/>
    </row>
    <row r="38" spans="1:24" s="474" customFormat="1" x14ac:dyDescent="0.35">
      <c r="A38" s="468"/>
      <c r="T38" s="460"/>
      <c r="U38" s="461"/>
      <c r="V38" s="461"/>
      <c r="W38" s="461"/>
      <c r="X38" s="459"/>
    </row>
    <row r="39" spans="1:24" s="474" customFormat="1" x14ac:dyDescent="0.35">
      <c r="A39" s="468"/>
      <c r="T39" s="460"/>
      <c r="U39" s="461"/>
      <c r="V39" s="461"/>
      <c r="W39" s="461"/>
      <c r="X39" s="459"/>
    </row>
    <row r="40" spans="1:24" s="474" customFormat="1" x14ac:dyDescent="0.35">
      <c r="A40" s="468"/>
      <c r="T40" s="462"/>
      <c r="U40" s="459"/>
      <c r="V40" s="459"/>
      <c r="W40" s="459"/>
      <c r="X40" s="459"/>
    </row>
    <row r="41" spans="1:24" s="474" customFormat="1" x14ac:dyDescent="0.35">
      <c r="A41" s="468"/>
    </row>
    <row r="42" spans="1:24" s="474" customFormat="1" x14ac:dyDescent="0.35">
      <c r="A42" s="468"/>
    </row>
    <row r="43" spans="1:24" s="474" customFormat="1" x14ac:dyDescent="0.35">
      <c r="A43" s="468"/>
    </row>
    <row r="44" spans="1:24" s="474" customFormat="1" x14ac:dyDescent="0.35">
      <c r="A44" s="468"/>
    </row>
    <row r="45" spans="1:24" s="474" customFormat="1" x14ac:dyDescent="0.35">
      <c r="A45" s="468"/>
    </row>
    <row r="46" spans="1:24" s="474" customFormat="1" x14ac:dyDescent="0.35">
      <c r="A46" s="468"/>
    </row>
    <row r="47" spans="1:24" s="474" customFormat="1" x14ac:dyDescent="0.35">
      <c r="A47" s="468"/>
    </row>
    <row r="48" spans="1:24" s="474" customFormat="1" x14ac:dyDescent="0.35">
      <c r="A48" s="468"/>
    </row>
    <row r="49" spans="1:24" s="474" customFormat="1" x14ac:dyDescent="0.35">
      <c r="A49" s="468"/>
      <c r="B49" s="447"/>
      <c r="C49" s="447"/>
      <c r="D49" s="447"/>
      <c r="E49" s="447"/>
      <c r="F49" s="447"/>
      <c r="G49" s="447"/>
      <c r="H49" s="447"/>
      <c r="I49" s="447"/>
      <c r="J49" s="447"/>
      <c r="K49" s="447"/>
    </row>
    <row r="50" spans="1:24" s="474" customFormat="1" x14ac:dyDescent="0.35">
      <c r="A50" s="468"/>
      <c r="B50" s="447"/>
      <c r="C50" s="447"/>
      <c r="D50" s="447"/>
      <c r="E50" s="447"/>
      <c r="F50" s="447"/>
      <c r="G50" s="447"/>
      <c r="H50" s="447"/>
      <c r="I50" s="447"/>
      <c r="J50" s="447"/>
      <c r="K50" s="447"/>
    </row>
    <row r="51" spans="1:24" s="474" customFormat="1" x14ac:dyDescent="0.35">
      <c r="A51" s="468"/>
      <c r="B51" s="447"/>
      <c r="C51" s="447"/>
      <c r="D51" s="447"/>
      <c r="E51" s="447"/>
      <c r="F51" s="447"/>
      <c r="G51" s="447"/>
      <c r="H51" s="447"/>
      <c r="I51" s="447"/>
      <c r="J51" s="447"/>
      <c r="K51" s="447"/>
    </row>
    <row r="52" spans="1:24" s="474" customFormat="1" x14ac:dyDescent="0.35">
      <c r="A52" s="468"/>
      <c r="B52" s="447"/>
      <c r="C52" s="447"/>
      <c r="D52" s="447"/>
      <c r="E52" s="447"/>
      <c r="F52" s="447"/>
      <c r="G52" s="447"/>
      <c r="H52" s="447"/>
      <c r="I52" s="447"/>
      <c r="J52" s="447"/>
      <c r="K52" s="447"/>
    </row>
    <row r="53" spans="1:24" s="474" customFormat="1" x14ac:dyDescent="0.35">
      <c r="A53" s="468"/>
      <c r="B53" s="447"/>
      <c r="C53" s="447"/>
      <c r="D53" s="447"/>
      <c r="E53" s="447"/>
      <c r="F53" s="447"/>
      <c r="G53" s="447"/>
      <c r="H53" s="447"/>
      <c r="I53" s="447"/>
      <c r="J53" s="447"/>
      <c r="K53" s="447"/>
    </row>
    <row r="54" spans="1:24" s="474" customFormat="1" x14ac:dyDescent="0.35">
      <c r="A54" s="468"/>
      <c r="B54" s="447"/>
      <c r="C54" s="447"/>
      <c r="D54" s="447"/>
      <c r="E54" s="447"/>
      <c r="F54" s="447"/>
      <c r="G54" s="447"/>
      <c r="H54" s="447"/>
      <c r="I54" s="447"/>
      <c r="J54" s="447"/>
      <c r="K54" s="447"/>
    </row>
    <row r="55" spans="1:24" s="474" customFormat="1" x14ac:dyDescent="0.35">
      <c r="A55" s="468"/>
      <c r="B55" s="447"/>
      <c r="C55" s="447"/>
      <c r="D55" s="447"/>
      <c r="E55" s="447"/>
      <c r="F55" s="447"/>
      <c r="G55" s="447"/>
      <c r="H55" s="447"/>
      <c r="I55" s="447"/>
      <c r="J55" s="447"/>
      <c r="K55" s="447"/>
    </row>
    <row r="56" spans="1:24" x14ac:dyDescent="0.35">
      <c r="M56" s="474"/>
      <c r="N56" s="474"/>
      <c r="O56" s="474"/>
      <c r="P56" s="474"/>
      <c r="Q56" s="474"/>
      <c r="R56" s="474"/>
      <c r="S56" s="474"/>
      <c r="T56" s="474"/>
      <c r="U56" s="474"/>
      <c r="V56" s="474"/>
      <c r="W56" s="474"/>
      <c r="X56" s="474"/>
    </row>
  </sheetData>
  <sheetProtection password="CD8A" sheet="1" objects="1" scenarios="1"/>
  <mergeCells count="3">
    <mergeCell ref="I16:K16"/>
    <mergeCell ref="I17:K17"/>
    <mergeCell ref="I18:K18"/>
  </mergeCells>
  <conditionalFormatting sqref="E5">
    <cfRule type="cellIs" dxfId="3" priority="4" operator="lessThan">
      <formula>0</formula>
    </cfRule>
  </conditionalFormatting>
  <conditionalFormatting sqref="B14">
    <cfRule type="cellIs" dxfId="2" priority="2" operator="greaterThan">
      <formula>3</formula>
    </cfRule>
    <cfRule type="cellIs" dxfId="1" priority="3" operator="lessThan">
      <formula>0</formula>
    </cfRule>
  </conditionalFormatting>
  <conditionalFormatting sqref="E14">
    <cfRule type="cellIs" dxfId="0" priority="1" operator="lessThan">
      <formula>0</formula>
    </cfRule>
  </conditionalFormatting>
  <pageMargins left="0.7" right="0.7" top="0.75" bottom="0.75" header="0.3" footer="0.3"/>
  <drawing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ul3"/>
  <dimension ref="A1:AG48"/>
  <sheetViews>
    <sheetView showZeros="0" zoomScaleNormal="100" workbookViewId="0">
      <pane ySplit="1" topLeftCell="A19" activePane="bottomLeft" state="frozen"/>
      <selection activeCell="E1" sqref="E1"/>
      <selection pane="bottomLeft" activeCell="D1" sqref="D1"/>
    </sheetView>
  </sheetViews>
  <sheetFormatPr defaultColWidth="8.81640625" defaultRowHeight="14.5" x14ac:dyDescent="0.35"/>
  <cols>
    <col min="1" max="1" width="2.6328125" customWidth="1"/>
  </cols>
  <sheetData>
    <row r="1" spans="1:33" s="410" customFormat="1" ht="27" customHeight="1" x14ac:dyDescent="0.35">
      <c r="A1" s="408"/>
      <c r="B1" s="408"/>
      <c r="C1" s="408"/>
      <c r="D1" s="409" t="s">
        <v>269</v>
      </c>
      <c r="E1" s="408"/>
      <c r="F1" s="408"/>
      <c r="G1" s="408"/>
      <c r="H1" s="408"/>
      <c r="I1" s="408"/>
      <c r="J1" s="408"/>
      <c r="K1" s="408"/>
      <c r="L1" s="408"/>
      <c r="M1" s="408"/>
      <c r="N1" s="408"/>
      <c r="O1" s="408"/>
      <c r="P1" s="408"/>
      <c r="Q1" s="408"/>
      <c r="R1" s="408"/>
      <c r="S1" s="408"/>
      <c r="T1" s="408"/>
      <c r="U1" s="408"/>
      <c r="V1" s="408"/>
      <c r="W1" s="408"/>
      <c r="X1" s="408"/>
      <c r="Y1" s="408"/>
      <c r="Z1" s="408"/>
      <c r="AA1" s="408"/>
      <c r="AB1" s="408"/>
      <c r="AC1" s="408"/>
      <c r="AD1" s="408"/>
      <c r="AE1" s="408"/>
      <c r="AF1" s="408"/>
      <c r="AG1" s="408"/>
    </row>
    <row r="2" spans="1:33" s="2" customFormat="1" ht="14.25" customHeight="1" x14ac:dyDescent="0.35">
      <c r="A2" s="3"/>
      <c r="B2" s="4"/>
      <c r="C2" s="1"/>
      <c r="D2" s="1"/>
      <c r="E2" s="1"/>
      <c r="F2" s="1"/>
      <c r="G2" s="1"/>
      <c r="H2" s="1"/>
      <c r="I2" s="1"/>
      <c r="J2" s="1"/>
      <c r="K2" s="1"/>
      <c r="L2" s="1"/>
      <c r="M2" s="1"/>
      <c r="N2" s="1"/>
      <c r="O2" s="1"/>
      <c r="P2" s="1"/>
      <c r="Q2" s="3"/>
      <c r="R2" s="3"/>
      <c r="S2" s="95"/>
      <c r="T2" s="1"/>
      <c r="U2" s="1"/>
      <c r="V2" s="1"/>
      <c r="W2" s="3"/>
      <c r="X2" s="1"/>
      <c r="Y2" s="1"/>
      <c r="Z2" s="1"/>
      <c r="AA2" s="1"/>
      <c r="AB2" s="1"/>
      <c r="AC2" s="1"/>
      <c r="AD2" s="1"/>
      <c r="AE2" s="1"/>
      <c r="AF2" s="3"/>
      <c r="AG2" s="3"/>
    </row>
    <row r="3" spans="1:33" s="12" customFormat="1" x14ac:dyDescent="0.35">
      <c r="A3" s="118"/>
    </row>
    <row r="4" spans="1:33" s="120" customFormat="1" x14ac:dyDescent="0.35">
      <c r="A4" s="119"/>
      <c r="B4" s="120" t="s">
        <v>267</v>
      </c>
      <c r="N4" s="120" t="s">
        <v>268</v>
      </c>
    </row>
    <row r="5" spans="1:33" s="12" customFormat="1" x14ac:dyDescent="0.35">
      <c r="A5" s="118"/>
    </row>
    <row r="6" spans="1:33" s="12" customFormat="1" x14ac:dyDescent="0.35">
      <c r="A6" s="121"/>
    </row>
    <row r="7" spans="1:33" s="12" customFormat="1" x14ac:dyDescent="0.35"/>
    <row r="8" spans="1:33" s="12" customFormat="1" x14ac:dyDescent="0.35"/>
    <row r="9" spans="1:33" s="12" customFormat="1" x14ac:dyDescent="0.35"/>
    <row r="10" spans="1:33" s="12" customFormat="1" x14ac:dyDescent="0.35"/>
    <row r="11" spans="1:33" s="12" customFormat="1" x14ac:dyDescent="0.35"/>
    <row r="12" spans="1:33" s="12" customFormat="1" x14ac:dyDescent="0.35"/>
    <row r="13" spans="1:33" s="12" customFormat="1" x14ac:dyDescent="0.35"/>
    <row r="14" spans="1:33" s="12" customFormat="1" x14ac:dyDescent="0.35"/>
    <row r="15" spans="1:33" s="12" customFormat="1" x14ac:dyDescent="0.35"/>
    <row r="16" spans="1:33" s="12" customFormat="1" x14ac:dyDescent="0.35"/>
    <row r="17" s="12" customFormat="1" x14ac:dyDescent="0.35"/>
    <row r="18" s="12" customFormat="1" x14ac:dyDescent="0.35"/>
    <row r="19" s="12" customFormat="1" x14ac:dyDescent="0.35"/>
    <row r="20" s="12" customFormat="1" x14ac:dyDescent="0.35"/>
    <row r="21" s="12" customFormat="1" x14ac:dyDescent="0.35"/>
    <row r="22" s="12" customFormat="1" x14ac:dyDescent="0.35"/>
    <row r="23" s="12" customFormat="1" x14ac:dyDescent="0.35"/>
    <row r="24" s="12" customFormat="1" x14ac:dyDescent="0.35"/>
    <row r="25" s="12" customFormat="1" x14ac:dyDescent="0.35"/>
    <row r="26" s="12" customFormat="1" x14ac:dyDescent="0.35"/>
    <row r="27" s="12" customFormat="1" x14ac:dyDescent="0.35"/>
    <row r="28" s="12" customFormat="1" x14ac:dyDescent="0.35"/>
    <row r="29" s="12" customFormat="1" x14ac:dyDescent="0.35"/>
    <row r="30" s="12" customFormat="1" x14ac:dyDescent="0.35"/>
    <row r="31" s="12" customFormat="1" x14ac:dyDescent="0.35"/>
    <row r="32" s="12" customFormat="1" x14ac:dyDescent="0.35"/>
    <row r="33" s="12" customFormat="1" x14ac:dyDescent="0.35"/>
    <row r="34" s="12" customFormat="1" x14ac:dyDescent="0.35"/>
    <row r="35" s="12" customFormat="1" x14ac:dyDescent="0.35"/>
    <row r="36" s="12" customFormat="1" x14ac:dyDescent="0.35"/>
    <row r="37" s="12" customFormat="1" x14ac:dyDescent="0.35"/>
    <row r="38" s="12" customFormat="1" x14ac:dyDescent="0.35"/>
    <row r="39" s="12" customFormat="1" x14ac:dyDescent="0.35"/>
    <row r="40" s="12" customFormat="1" x14ac:dyDescent="0.35"/>
    <row r="41" s="12" customFormat="1" x14ac:dyDescent="0.35"/>
    <row r="42" s="12" customFormat="1" x14ac:dyDescent="0.35"/>
    <row r="43" s="12" customFormat="1" x14ac:dyDescent="0.35"/>
    <row r="44" s="12" customFormat="1" x14ac:dyDescent="0.35"/>
    <row r="45" s="12" customFormat="1" x14ac:dyDescent="0.35"/>
    <row r="46" s="12" customFormat="1" x14ac:dyDescent="0.35"/>
    <row r="47" s="12" customFormat="1" x14ac:dyDescent="0.35"/>
    <row r="48" s="12" customFormat="1" x14ac:dyDescent="0.35"/>
  </sheetData>
  <sheetProtection algorithmName="SHA-512" hashValue="+w8mllLpc9WNMg1KhtRtaBVa8l1ltKXBLxd0PdzXXZ55hO+NT0NEpULyeDw/pwK3xp38q7/osYdWP9Pecxkn4A==" saltValue="Ew8Mz9MaUVi5VPqHmQ413Q==" spinCount="100000" sheet="1" objects="1" scenarios="1"/>
  <pageMargins left="0.7" right="0.7" top="0.75" bottom="0.75" header="0.3" footer="0.3"/>
  <drawing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I51"/>
  <sheetViews>
    <sheetView zoomScaleNormal="100" workbookViewId="0">
      <pane ySplit="10" topLeftCell="A11" activePane="bottomLeft" state="frozen"/>
      <selection activeCell="E1" sqref="E1"/>
      <selection pane="bottomLeft" activeCell="D1" sqref="D1"/>
    </sheetView>
  </sheetViews>
  <sheetFormatPr defaultColWidth="9.1796875" defaultRowHeight="14.5" x14ac:dyDescent="0.35"/>
  <cols>
    <col min="1" max="1" width="2.6328125" style="444" customWidth="1"/>
    <col min="2" max="15" width="8.6328125" style="447" customWidth="1"/>
    <col min="16" max="16" width="9.1796875" style="447"/>
    <col min="17" max="18" width="2.6328125" style="447" customWidth="1"/>
    <col min="19" max="19" width="9.1796875" style="448"/>
    <col min="20" max="20" width="4.6328125" style="447" customWidth="1"/>
    <col min="21" max="16384" width="9.1796875" style="447"/>
  </cols>
  <sheetData>
    <row r="1" spans="1:35" s="439" customFormat="1" ht="27" customHeight="1" x14ac:dyDescent="0.35">
      <c r="D1" s="440" t="s">
        <v>300</v>
      </c>
      <c r="N1" s="408" t="s">
        <v>694</v>
      </c>
      <c r="S1" s="441"/>
    </row>
    <row r="2" spans="1:35" s="444" customFormat="1" ht="14.25" customHeight="1" x14ac:dyDescent="0.35">
      <c r="A2" s="442"/>
      <c r="B2" s="443"/>
      <c r="N2" s="897" t="s">
        <v>299</v>
      </c>
      <c r="O2" s="897"/>
      <c r="P2" s="897"/>
      <c r="S2" s="445"/>
    </row>
    <row r="3" spans="1:35" ht="22.5" customHeight="1" x14ac:dyDescent="0.5">
      <c r="A3" s="442"/>
      <c r="B3" s="446" t="s">
        <v>40</v>
      </c>
    </row>
    <row r="4" spans="1:35" ht="39" x14ac:dyDescent="0.35">
      <c r="B4" s="133" t="s">
        <v>301</v>
      </c>
      <c r="C4" s="133" t="s">
        <v>103</v>
      </c>
      <c r="D4" s="133" t="s">
        <v>302</v>
      </c>
      <c r="E4" s="133" t="s">
        <v>303</v>
      </c>
      <c r="F4" s="133" t="s">
        <v>705</v>
      </c>
      <c r="G4" s="133" t="s">
        <v>304</v>
      </c>
      <c r="H4" s="133" t="s">
        <v>305</v>
      </c>
      <c r="I4" s="133" t="s">
        <v>306</v>
      </c>
      <c r="J4" s="133" t="s">
        <v>304</v>
      </c>
      <c r="K4" s="133" t="s">
        <v>307</v>
      </c>
    </row>
    <row r="5" spans="1:35" ht="14.25" customHeight="1" thickBot="1" x14ac:dyDescent="0.4">
      <c r="B5" s="166">
        <f>Energiantarve!F32</f>
        <v>50</v>
      </c>
      <c r="C5" s="167">
        <f>Energiantarve!G32</f>
        <v>443.63636363636363</v>
      </c>
      <c r="D5" s="166">
        <f>Energiantarve!J32</f>
        <v>22</v>
      </c>
      <c r="E5" s="166">
        <f>D5*30</f>
        <v>660</v>
      </c>
      <c r="F5" s="167">
        <f>IF(E5=0,0,(C5-B5)/E5*1000)</f>
        <v>596.41873278236915</v>
      </c>
      <c r="G5" s="168">
        <f>IF(F5=0,0,HLOOKUP($F$5,$U$13:$AI$28,T13))</f>
        <v>80.285714285714292</v>
      </c>
      <c r="H5" s="23">
        <f>Energiantarve!M32*-10%</f>
        <v>-2.0000000000000004E-2</v>
      </c>
      <c r="I5" s="169"/>
      <c r="J5" s="167">
        <f>G5+(G5*H5)+(G5*I5)</f>
        <v>78.680000000000007</v>
      </c>
      <c r="K5" s="167">
        <f>E5*J5</f>
        <v>51928.800000000003</v>
      </c>
    </row>
    <row r="6" spans="1:35" ht="14.25" customHeight="1" x14ac:dyDescent="0.35">
      <c r="B6" s="140" t="s">
        <v>308</v>
      </c>
      <c r="C6" s="141"/>
      <c r="D6" s="142"/>
      <c r="E6" s="141" t="s">
        <v>291</v>
      </c>
      <c r="F6" s="142"/>
      <c r="G6" s="141"/>
      <c r="H6" s="141"/>
      <c r="I6" s="141"/>
      <c r="J6" s="141"/>
      <c r="K6" s="144"/>
    </row>
    <row r="7" spans="1:35" ht="14.25" customHeight="1" x14ac:dyDescent="0.35">
      <c r="B7" s="145" t="s">
        <v>309</v>
      </c>
      <c r="C7" s="146"/>
      <c r="D7" s="132"/>
      <c r="E7" s="170">
        <f>K5</f>
        <v>51928.800000000003</v>
      </c>
      <c r="F7" s="148"/>
      <c r="G7" s="147"/>
      <c r="H7" s="146"/>
      <c r="I7" s="146"/>
      <c r="J7" s="146"/>
      <c r="K7" s="149"/>
    </row>
    <row r="8" spans="1:35" ht="14.25" customHeight="1" x14ac:dyDescent="0.35">
      <c r="B8" s="145"/>
      <c r="C8" s="146"/>
      <c r="D8" s="146"/>
      <c r="E8" s="170"/>
      <c r="F8" s="153"/>
      <c r="G8" s="147"/>
      <c r="H8" s="146"/>
      <c r="I8" s="146"/>
      <c r="J8" s="146"/>
      <c r="K8" s="149"/>
    </row>
    <row r="9" spans="1:35" ht="14.25" customHeight="1" thickBot="1" x14ac:dyDescent="0.4">
      <c r="B9" s="154" t="s">
        <v>295</v>
      </c>
      <c r="C9" s="155"/>
      <c r="D9" s="155"/>
      <c r="E9" s="156">
        <f>SUM(E7:E8)</f>
        <v>51928.800000000003</v>
      </c>
      <c r="F9" s="157"/>
      <c r="G9" s="158"/>
      <c r="H9" s="155"/>
      <c r="I9" s="155"/>
      <c r="J9" s="155"/>
      <c r="K9" s="159"/>
    </row>
    <row r="10" spans="1:35" ht="14.25" customHeight="1" x14ac:dyDescent="0.35"/>
    <row r="11" spans="1:35" s="444" customFormat="1" ht="14.25" customHeight="1" x14ac:dyDescent="0.35">
      <c r="A11" s="442"/>
      <c r="B11" s="443"/>
      <c r="S11" s="445"/>
    </row>
    <row r="12" spans="1:35" ht="22.5" customHeight="1" x14ac:dyDescent="0.5">
      <c r="A12" s="442"/>
      <c r="B12" s="446" t="s">
        <v>296</v>
      </c>
      <c r="T12" s="449" t="s">
        <v>630</v>
      </c>
      <c r="U12" s="450" t="s">
        <v>631</v>
      </c>
    </row>
    <row r="13" spans="1:35" ht="39" x14ac:dyDescent="0.35">
      <c r="A13" s="436"/>
      <c r="B13" s="133" t="s">
        <v>301</v>
      </c>
      <c r="C13" s="133" t="s">
        <v>103</v>
      </c>
      <c r="D13" s="133" t="s">
        <v>302</v>
      </c>
      <c r="E13" s="133" t="s">
        <v>303</v>
      </c>
      <c r="F13" s="133" t="s">
        <v>705</v>
      </c>
      <c r="G13" s="133" t="s">
        <v>304</v>
      </c>
      <c r="H13" s="133" t="s">
        <v>310</v>
      </c>
      <c r="I13" s="133" t="s">
        <v>306</v>
      </c>
      <c r="J13" s="133" t="s">
        <v>304</v>
      </c>
      <c r="K13" s="133" t="s">
        <v>307</v>
      </c>
      <c r="L13" s="132"/>
      <c r="S13" s="435" t="s">
        <v>301</v>
      </c>
      <c r="T13" s="451">
        <f>VLOOKUP(B5,S14:T28,2)</f>
        <v>2</v>
      </c>
      <c r="U13" s="452">
        <v>0</v>
      </c>
      <c r="V13" s="452">
        <v>700</v>
      </c>
      <c r="W13" s="452">
        <v>800</v>
      </c>
      <c r="X13" s="452">
        <v>900</v>
      </c>
      <c r="Y13" s="452">
        <v>1000</v>
      </c>
      <c r="Z13" s="452">
        <v>1100</v>
      </c>
      <c r="AA13" s="452">
        <v>1200</v>
      </c>
      <c r="AB13" s="452">
        <v>1300</v>
      </c>
      <c r="AC13" s="452">
        <v>1400</v>
      </c>
      <c r="AD13" s="452">
        <v>1500</v>
      </c>
      <c r="AE13" s="452">
        <v>1600</v>
      </c>
      <c r="AF13" s="452">
        <v>1700</v>
      </c>
      <c r="AG13" s="452">
        <v>1800</v>
      </c>
      <c r="AH13" s="452">
        <v>1900</v>
      </c>
      <c r="AI13" s="452">
        <v>2000</v>
      </c>
    </row>
    <row r="14" spans="1:35" ht="15" thickBot="1" x14ac:dyDescent="0.4">
      <c r="A14" s="436"/>
      <c r="B14" s="171">
        <v>100</v>
      </c>
      <c r="C14" s="171">
        <v>700</v>
      </c>
      <c r="D14" s="171">
        <v>18</v>
      </c>
      <c r="E14" s="166">
        <f>D14*30</f>
        <v>540</v>
      </c>
      <c r="F14" s="167">
        <f>IF(E14=0,0,(C14-B14)/E14*1000)</f>
        <v>1111.1111111111111</v>
      </c>
      <c r="G14" s="168">
        <v>104.07142857142857</v>
      </c>
      <c r="H14" s="172">
        <v>-0.1</v>
      </c>
      <c r="I14" s="172"/>
      <c r="J14" s="167">
        <f>G14+(G14*H14)+(G14*I14)</f>
        <v>93.664285714285711</v>
      </c>
      <c r="K14" s="167">
        <f>E14*J14</f>
        <v>50578.714285714283</v>
      </c>
      <c r="L14" s="132"/>
      <c r="S14" s="453">
        <v>0</v>
      </c>
      <c r="T14" s="454">
        <v>2</v>
      </c>
      <c r="U14" s="455">
        <f t="shared" ref="U14:AE14" si="0">AVERAGE(C31:C44)</f>
        <v>80.285714285714292</v>
      </c>
      <c r="V14" s="455">
        <f t="shared" si="0"/>
        <v>84.428571428571431</v>
      </c>
      <c r="W14" s="455">
        <f t="shared" si="0"/>
        <v>88.857142857142861</v>
      </c>
      <c r="X14" s="455">
        <f t="shared" si="0"/>
        <v>93.571428571428569</v>
      </c>
      <c r="Y14" s="455">
        <f t="shared" si="0"/>
        <v>98.642857142857139</v>
      </c>
      <c r="Z14" s="455">
        <f t="shared" si="0"/>
        <v>104.07142857142857</v>
      </c>
      <c r="AA14" s="455">
        <f t="shared" si="0"/>
        <v>109.71428571428571</v>
      </c>
      <c r="AB14" s="455">
        <f t="shared" si="0"/>
        <v>116.28571428571429</v>
      </c>
      <c r="AC14" s="455">
        <f t="shared" si="0"/>
        <v>123.07142857142857</v>
      </c>
      <c r="AD14" s="455">
        <f t="shared" si="0"/>
        <v>130.64285714285714</v>
      </c>
      <c r="AE14" s="455">
        <f t="shared" si="0"/>
        <v>139</v>
      </c>
      <c r="AF14" s="455">
        <f>AVERAGE(N32:N43)</f>
        <v>149.08333333333334</v>
      </c>
      <c r="AG14" s="455">
        <f>AVERAGE(O33:O42)</f>
        <v>260.2</v>
      </c>
      <c r="AH14" s="455">
        <f>AVERAGE(P34:P41)</f>
        <v>171.75</v>
      </c>
      <c r="AI14" s="455">
        <f>AVERAGE(P34:P41)</f>
        <v>171.75</v>
      </c>
    </row>
    <row r="15" spans="1:35" x14ac:dyDescent="0.35">
      <c r="A15" s="436"/>
      <c r="B15" s="140" t="s">
        <v>311</v>
      </c>
      <c r="C15" s="141"/>
      <c r="D15" s="142"/>
      <c r="E15" s="141" t="s">
        <v>291</v>
      </c>
      <c r="F15" s="142"/>
      <c r="G15" s="141"/>
      <c r="H15" s="141"/>
      <c r="I15" s="143"/>
      <c r="J15" s="141"/>
      <c r="K15" s="144"/>
      <c r="L15" s="132"/>
      <c r="S15" s="453">
        <v>100</v>
      </c>
      <c r="T15" s="454">
        <v>3</v>
      </c>
      <c r="U15" s="455">
        <f t="shared" ref="U15:AH16" si="1">AVERAGE(C31:C44)</f>
        <v>80.285714285714292</v>
      </c>
      <c r="V15" s="455">
        <f t="shared" si="1"/>
        <v>84.428571428571431</v>
      </c>
      <c r="W15" s="455">
        <f t="shared" si="1"/>
        <v>88.857142857142861</v>
      </c>
      <c r="X15" s="455">
        <f t="shared" si="1"/>
        <v>93.571428571428569</v>
      </c>
      <c r="Y15" s="455">
        <f t="shared" si="1"/>
        <v>98.642857142857139</v>
      </c>
      <c r="Z15" s="455">
        <f t="shared" si="1"/>
        <v>104.07142857142857</v>
      </c>
      <c r="AA15" s="455">
        <f t="shared" si="1"/>
        <v>109.71428571428571</v>
      </c>
      <c r="AB15" s="455">
        <f t="shared" si="1"/>
        <v>116.28571428571429</v>
      </c>
      <c r="AC15" s="455">
        <f t="shared" si="1"/>
        <v>123.07142857142857</v>
      </c>
      <c r="AD15" s="455">
        <f t="shared" si="1"/>
        <v>130.64285714285714</v>
      </c>
      <c r="AE15" s="455">
        <f t="shared" si="1"/>
        <v>139</v>
      </c>
      <c r="AF15" s="455">
        <f t="shared" si="1"/>
        <v>149.08333333333334</v>
      </c>
      <c r="AG15" s="455">
        <f t="shared" si="1"/>
        <v>260.2</v>
      </c>
      <c r="AH15" s="455">
        <f t="shared" si="1"/>
        <v>171.75</v>
      </c>
      <c r="AI15" s="455">
        <f>AVERAGE(P31:P44)</f>
        <v>171.75</v>
      </c>
    </row>
    <row r="16" spans="1:35" x14ac:dyDescent="0.35">
      <c r="A16" s="436"/>
      <c r="B16" s="145" t="s">
        <v>309</v>
      </c>
      <c r="C16" s="146"/>
      <c r="D16" s="132"/>
      <c r="E16" s="170">
        <f>K14</f>
        <v>50578.714285714283</v>
      </c>
      <c r="F16" s="148"/>
      <c r="G16" s="147"/>
      <c r="H16" s="146"/>
      <c r="I16" s="881" t="s">
        <v>312</v>
      </c>
      <c r="J16" s="881"/>
      <c r="K16" s="882"/>
      <c r="L16" s="132"/>
      <c r="S16" s="453">
        <v>150</v>
      </c>
      <c r="T16" s="454">
        <v>4</v>
      </c>
      <c r="U16" s="455">
        <f t="shared" si="1"/>
        <v>83.769230769230774</v>
      </c>
      <c r="V16" s="455">
        <f t="shared" si="1"/>
        <v>88.07692307692308</v>
      </c>
      <c r="W16" s="455">
        <f t="shared" si="1"/>
        <v>92.615384615384613</v>
      </c>
      <c r="X16" s="455">
        <f t="shared" si="1"/>
        <v>97.538461538461533</v>
      </c>
      <c r="Y16" s="455">
        <f t="shared" si="1"/>
        <v>102.84615384615384</v>
      </c>
      <c r="Z16" s="455">
        <f t="shared" si="1"/>
        <v>108.46153846153847</v>
      </c>
      <c r="AA16" s="455">
        <f t="shared" si="1"/>
        <v>114.30769230769231</v>
      </c>
      <c r="AB16" s="455">
        <f t="shared" si="1"/>
        <v>121.07692307692308</v>
      </c>
      <c r="AC16" s="455">
        <f t="shared" si="1"/>
        <v>128.15384615384616</v>
      </c>
      <c r="AD16" s="455">
        <f t="shared" si="1"/>
        <v>136</v>
      </c>
      <c r="AE16" s="455">
        <f t="shared" si="1"/>
        <v>144.61538461538461</v>
      </c>
      <c r="AF16" s="455">
        <f t="shared" si="1"/>
        <v>149.08333333333334</v>
      </c>
      <c r="AG16" s="455">
        <f t="shared" si="1"/>
        <v>260.2</v>
      </c>
      <c r="AH16" s="455">
        <f t="shared" si="1"/>
        <v>171.75</v>
      </c>
      <c r="AI16" s="455">
        <f>AVERAGE(P32:P45)</f>
        <v>171.75</v>
      </c>
    </row>
    <row r="17" spans="1:35" x14ac:dyDescent="0.35">
      <c r="A17" s="436"/>
      <c r="B17" s="145"/>
      <c r="C17" s="146"/>
      <c r="D17" s="146"/>
      <c r="E17" s="170"/>
      <c r="F17" s="153"/>
      <c r="G17" s="147"/>
      <c r="H17" s="146"/>
      <c r="I17" s="881" t="s">
        <v>298</v>
      </c>
      <c r="J17" s="881"/>
      <c r="K17" s="882"/>
      <c r="L17" s="132"/>
      <c r="S17" s="453">
        <v>200</v>
      </c>
      <c r="T17" s="454">
        <v>5</v>
      </c>
      <c r="U17" s="455">
        <f t="shared" ref="U17:AH17" si="2">AVERAGE(C33:C45)</f>
        <v>87.083333333333329</v>
      </c>
      <c r="V17" s="455">
        <f t="shared" si="2"/>
        <v>91.583333333333329</v>
      </c>
      <c r="W17" s="455">
        <f t="shared" si="2"/>
        <v>96.25</v>
      </c>
      <c r="X17" s="455">
        <f t="shared" si="2"/>
        <v>101.41666666666667</v>
      </c>
      <c r="Y17" s="455">
        <f t="shared" si="2"/>
        <v>106.91666666666667</v>
      </c>
      <c r="Z17" s="455">
        <f t="shared" si="2"/>
        <v>112.66666666666667</v>
      </c>
      <c r="AA17" s="455">
        <f t="shared" si="2"/>
        <v>118.75</v>
      </c>
      <c r="AB17" s="455">
        <f t="shared" si="2"/>
        <v>125.75</v>
      </c>
      <c r="AC17" s="455">
        <f t="shared" si="2"/>
        <v>133.08333333333334</v>
      </c>
      <c r="AD17" s="455">
        <f t="shared" si="2"/>
        <v>141.25</v>
      </c>
      <c r="AE17" s="455">
        <f t="shared" si="2"/>
        <v>150.16666666666666</v>
      </c>
      <c r="AF17" s="455">
        <f t="shared" si="2"/>
        <v>155</v>
      </c>
      <c r="AG17" s="455">
        <f t="shared" si="2"/>
        <v>260.2</v>
      </c>
      <c r="AH17" s="455">
        <f t="shared" si="2"/>
        <v>171.75</v>
      </c>
      <c r="AI17" s="455">
        <f>AVERAGE(P33:P45)</f>
        <v>171.75</v>
      </c>
    </row>
    <row r="18" spans="1:35" ht="15" thickBot="1" x14ac:dyDescent="0.4">
      <c r="A18" s="436"/>
      <c r="B18" s="154" t="s">
        <v>295</v>
      </c>
      <c r="C18" s="155"/>
      <c r="D18" s="155"/>
      <c r="E18" s="156">
        <f>SUM(E16:E17)</f>
        <v>50578.714285714283</v>
      </c>
      <c r="F18" s="157"/>
      <c r="G18" s="158"/>
      <c r="H18" s="155"/>
      <c r="I18" s="889" t="s">
        <v>299</v>
      </c>
      <c r="J18" s="889"/>
      <c r="K18" s="890"/>
      <c r="L18" s="132"/>
      <c r="S18" s="453">
        <v>250</v>
      </c>
      <c r="T18" s="454">
        <v>6</v>
      </c>
      <c r="U18" s="455">
        <f t="shared" ref="U18:AH18" si="3">AVERAGE(C34:C45)</f>
        <v>90.36363636363636</v>
      </c>
      <c r="V18" s="455">
        <f t="shared" si="3"/>
        <v>95</v>
      </c>
      <c r="W18" s="455">
        <f t="shared" si="3"/>
        <v>99.818181818181813</v>
      </c>
      <c r="X18" s="455">
        <f t="shared" si="3"/>
        <v>105.18181818181819</v>
      </c>
      <c r="Y18" s="455">
        <f t="shared" si="3"/>
        <v>110.81818181818181</v>
      </c>
      <c r="Z18" s="455">
        <f t="shared" si="3"/>
        <v>116.81818181818181</v>
      </c>
      <c r="AA18" s="455">
        <f t="shared" si="3"/>
        <v>123.09090909090909</v>
      </c>
      <c r="AB18" s="455">
        <f t="shared" si="3"/>
        <v>130.36363636363637</v>
      </c>
      <c r="AC18" s="455">
        <f t="shared" si="3"/>
        <v>137.90909090909091</v>
      </c>
      <c r="AD18" s="455">
        <f t="shared" si="3"/>
        <v>146.36363636363637</v>
      </c>
      <c r="AE18" s="455">
        <f t="shared" si="3"/>
        <v>155.54545454545453</v>
      </c>
      <c r="AF18" s="455">
        <f t="shared" si="3"/>
        <v>160.80000000000001</v>
      </c>
      <c r="AG18" s="455">
        <f t="shared" si="3"/>
        <v>277.55555555555554</v>
      </c>
      <c r="AH18" s="455">
        <f t="shared" si="3"/>
        <v>171.75</v>
      </c>
      <c r="AI18" s="455">
        <f>AVERAGE(P34:P45)</f>
        <v>171.75</v>
      </c>
    </row>
    <row r="19" spans="1:35" x14ac:dyDescent="0.35">
      <c r="A19" s="436"/>
      <c r="B19" s="132"/>
      <c r="C19" s="132"/>
      <c r="D19" s="132"/>
      <c r="E19" s="132"/>
      <c r="F19" s="132"/>
      <c r="G19" s="132"/>
      <c r="H19" s="132"/>
      <c r="I19" s="132"/>
      <c r="J19" s="132"/>
      <c r="K19" s="132"/>
      <c r="L19" s="132"/>
      <c r="S19" s="453">
        <v>300</v>
      </c>
      <c r="T19" s="454">
        <v>7</v>
      </c>
      <c r="U19" s="455">
        <f t="shared" ref="U19:AH19" si="4">AVERAGE(C35:C45)</f>
        <v>93.5</v>
      </c>
      <c r="V19" s="455">
        <f t="shared" si="4"/>
        <v>98.3</v>
      </c>
      <c r="W19" s="455">
        <f t="shared" si="4"/>
        <v>103.3</v>
      </c>
      <c r="X19" s="455">
        <f t="shared" si="4"/>
        <v>108.8</v>
      </c>
      <c r="Y19" s="455">
        <f t="shared" si="4"/>
        <v>114.6</v>
      </c>
      <c r="Z19" s="455">
        <f t="shared" si="4"/>
        <v>120.8</v>
      </c>
      <c r="AA19" s="455">
        <f t="shared" si="4"/>
        <v>127.3</v>
      </c>
      <c r="AB19" s="455">
        <f t="shared" si="4"/>
        <v>134.80000000000001</v>
      </c>
      <c r="AC19" s="455">
        <f t="shared" si="4"/>
        <v>142.6</v>
      </c>
      <c r="AD19" s="455">
        <f t="shared" si="4"/>
        <v>151.30000000000001</v>
      </c>
      <c r="AE19" s="455">
        <f t="shared" si="4"/>
        <v>160.80000000000001</v>
      </c>
      <c r="AF19" s="455">
        <f t="shared" si="4"/>
        <v>166.44444444444446</v>
      </c>
      <c r="AG19" s="455">
        <f t="shared" si="4"/>
        <v>297.5</v>
      </c>
      <c r="AH19" s="455">
        <f t="shared" si="4"/>
        <v>179</v>
      </c>
      <c r="AI19" s="455">
        <f>AVERAGE(P35:P45)</f>
        <v>179</v>
      </c>
    </row>
    <row r="20" spans="1:35" x14ac:dyDescent="0.35">
      <c r="A20" s="436"/>
      <c r="B20" s="132"/>
      <c r="C20" s="132"/>
      <c r="D20" s="132"/>
      <c r="E20" s="132"/>
      <c r="F20" s="132"/>
      <c r="G20" s="132"/>
      <c r="H20" s="132"/>
      <c r="I20" s="132"/>
      <c r="J20" s="132"/>
      <c r="K20" s="132"/>
      <c r="L20" s="132"/>
      <c r="S20" s="453">
        <v>350</v>
      </c>
      <c r="T20" s="454">
        <v>8</v>
      </c>
      <c r="U20" s="455">
        <f t="shared" ref="U20:AH20" si="5">AVERAGE(C36:C45)</f>
        <v>96.555555555555557</v>
      </c>
      <c r="V20" s="455">
        <f t="shared" si="5"/>
        <v>101.55555555555556</v>
      </c>
      <c r="W20" s="455">
        <f t="shared" si="5"/>
        <v>106.66666666666667</v>
      </c>
      <c r="X20" s="455">
        <f t="shared" si="5"/>
        <v>112.33333333333333</v>
      </c>
      <c r="Y20" s="455">
        <f t="shared" si="5"/>
        <v>118.33333333333333</v>
      </c>
      <c r="Z20" s="455">
        <f t="shared" si="5"/>
        <v>124.77777777777777</v>
      </c>
      <c r="AA20" s="455">
        <f t="shared" si="5"/>
        <v>131.44444444444446</v>
      </c>
      <c r="AB20" s="455">
        <f t="shared" si="5"/>
        <v>139.11111111111111</v>
      </c>
      <c r="AC20" s="455">
        <f t="shared" si="5"/>
        <v>147.22222222222223</v>
      </c>
      <c r="AD20" s="455">
        <f t="shared" si="5"/>
        <v>156.11111111111111</v>
      </c>
      <c r="AE20" s="455">
        <f t="shared" si="5"/>
        <v>165.88888888888889</v>
      </c>
      <c r="AF20" s="455">
        <f t="shared" si="5"/>
        <v>172</v>
      </c>
      <c r="AG20" s="455">
        <f t="shared" si="5"/>
        <v>321.28571428571428</v>
      </c>
      <c r="AH20" s="455">
        <f t="shared" si="5"/>
        <v>185.33333333333334</v>
      </c>
      <c r="AI20" s="455">
        <f>AVERAGE(P36:P45)</f>
        <v>185.33333333333334</v>
      </c>
    </row>
    <row r="21" spans="1:35" x14ac:dyDescent="0.35">
      <c r="A21" s="436"/>
      <c r="B21" s="132"/>
      <c r="C21" s="132"/>
      <c r="D21" s="132"/>
      <c r="E21" s="132"/>
      <c r="F21" s="132"/>
      <c r="G21" s="132"/>
      <c r="H21" s="132"/>
      <c r="I21" s="132"/>
      <c r="J21" s="132"/>
      <c r="K21" s="132"/>
      <c r="L21" s="132"/>
      <c r="S21" s="453">
        <v>400</v>
      </c>
      <c r="T21" s="454">
        <v>9</v>
      </c>
      <c r="U21" s="455">
        <f t="shared" ref="U21:AH25" si="6">AVERAGE(C37:C45)</f>
        <v>99.5</v>
      </c>
      <c r="V21" s="455">
        <f t="shared" si="6"/>
        <v>104.75</v>
      </c>
      <c r="W21" s="455">
        <f t="shared" si="6"/>
        <v>110</v>
      </c>
      <c r="X21" s="455">
        <f t="shared" si="6"/>
        <v>115.75</v>
      </c>
      <c r="Y21" s="455">
        <f t="shared" si="6"/>
        <v>122</v>
      </c>
      <c r="Z21" s="455">
        <f t="shared" si="6"/>
        <v>128.625</v>
      </c>
      <c r="AA21" s="455">
        <f t="shared" si="6"/>
        <v>135.5</v>
      </c>
      <c r="AB21" s="455">
        <f t="shared" si="6"/>
        <v>143.375</v>
      </c>
      <c r="AC21" s="455">
        <f t="shared" si="6"/>
        <v>151.75</v>
      </c>
      <c r="AD21" s="455">
        <f t="shared" si="6"/>
        <v>160.875</v>
      </c>
      <c r="AE21" s="455">
        <f t="shared" si="6"/>
        <v>170.875</v>
      </c>
      <c r="AF21" s="455">
        <f t="shared" si="6"/>
        <v>177.42857142857142</v>
      </c>
      <c r="AG21" s="455">
        <f t="shared" si="6"/>
        <v>350.83333333333331</v>
      </c>
      <c r="AH21" s="455">
        <f t="shared" si="6"/>
        <v>191.6</v>
      </c>
      <c r="AI21" s="455">
        <f>AVERAGE(P37:P45)</f>
        <v>191.6</v>
      </c>
    </row>
    <row r="22" spans="1:35" x14ac:dyDescent="0.35">
      <c r="A22" s="436"/>
      <c r="B22" s="132"/>
      <c r="C22" s="132"/>
      <c r="D22" s="132"/>
      <c r="E22" s="132"/>
      <c r="F22" s="132"/>
      <c r="G22" s="132"/>
      <c r="H22" s="132"/>
      <c r="I22" s="132"/>
      <c r="J22" s="132"/>
      <c r="K22" s="132"/>
      <c r="L22" s="132"/>
      <c r="S22" s="453">
        <v>450</v>
      </c>
      <c r="T22" s="454">
        <v>10</v>
      </c>
      <c r="U22" s="455">
        <f t="shared" si="6"/>
        <v>102.42857142857143</v>
      </c>
      <c r="V22" s="455">
        <f t="shared" si="6"/>
        <v>107.85714285714286</v>
      </c>
      <c r="W22" s="455">
        <f t="shared" si="6"/>
        <v>113.28571428571429</v>
      </c>
      <c r="X22" s="455">
        <f t="shared" si="6"/>
        <v>119.14285714285714</v>
      </c>
      <c r="Y22" s="455">
        <f t="shared" si="6"/>
        <v>125.57142857142857</v>
      </c>
      <c r="Z22" s="455">
        <f t="shared" si="6"/>
        <v>132.42857142857142</v>
      </c>
      <c r="AA22" s="455">
        <f t="shared" si="6"/>
        <v>139.42857142857142</v>
      </c>
      <c r="AB22" s="455">
        <f t="shared" si="6"/>
        <v>147.57142857142858</v>
      </c>
      <c r="AC22" s="455">
        <f t="shared" si="6"/>
        <v>156.14285714285714</v>
      </c>
      <c r="AD22" s="455">
        <f t="shared" si="6"/>
        <v>165.42857142857142</v>
      </c>
      <c r="AE22" s="455">
        <f t="shared" si="6"/>
        <v>175.71428571428572</v>
      </c>
      <c r="AF22" s="455">
        <f t="shared" si="6"/>
        <v>182.66666666666666</v>
      </c>
      <c r="AG22" s="455">
        <f t="shared" si="6"/>
        <v>389.8</v>
      </c>
      <c r="AH22" s="455">
        <f t="shared" si="6"/>
        <v>197.75</v>
      </c>
      <c r="AI22" s="455">
        <f>AVERAGE(P38:P46)</f>
        <v>197.75</v>
      </c>
    </row>
    <row r="23" spans="1:35" x14ac:dyDescent="0.35">
      <c r="A23" s="436"/>
      <c r="B23" s="132"/>
      <c r="C23" s="132"/>
      <c r="D23" s="132"/>
      <c r="E23" s="132"/>
      <c r="F23" s="132"/>
      <c r="G23" s="132"/>
      <c r="H23" s="132"/>
      <c r="I23" s="132"/>
      <c r="J23" s="132"/>
      <c r="K23" s="132"/>
      <c r="L23" s="132"/>
      <c r="S23" s="453">
        <v>500</v>
      </c>
      <c r="T23" s="454">
        <v>11</v>
      </c>
      <c r="U23" s="455">
        <f t="shared" si="6"/>
        <v>105.33333333333333</v>
      </c>
      <c r="V23" s="455">
        <f t="shared" si="6"/>
        <v>110.83333333333333</v>
      </c>
      <c r="W23" s="455">
        <f t="shared" si="6"/>
        <v>116.5</v>
      </c>
      <c r="X23" s="455">
        <f t="shared" si="6"/>
        <v>122.5</v>
      </c>
      <c r="Y23" s="455">
        <f t="shared" si="6"/>
        <v>129</v>
      </c>
      <c r="Z23" s="455">
        <f t="shared" si="6"/>
        <v>136.16666666666666</v>
      </c>
      <c r="AA23" s="455">
        <f t="shared" si="6"/>
        <v>143.33333333333334</v>
      </c>
      <c r="AB23" s="455">
        <f t="shared" si="6"/>
        <v>151.66666666666666</v>
      </c>
      <c r="AC23" s="455">
        <f t="shared" si="6"/>
        <v>160.5</v>
      </c>
      <c r="AD23" s="455">
        <f t="shared" si="6"/>
        <v>170</v>
      </c>
      <c r="AE23" s="455">
        <f t="shared" si="6"/>
        <v>180.5</v>
      </c>
      <c r="AF23" s="455">
        <f t="shared" si="6"/>
        <v>187.8</v>
      </c>
      <c r="AG23" s="455">
        <f t="shared" si="6"/>
        <v>195.25</v>
      </c>
      <c r="AH23" s="455">
        <f t="shared" si="6"/>
        <v>203.66666666666666</v>
      </c>
      <c r="AI23" s="455">
        <f>AVERAGE(P39:P47)</f>
        <v>203.66666666666666</v>
      </c>
    </row>
    <row r="24" spans="1:35" x14ac:dyDescent="0.35">
      <c r="A24" s="436"/>
      <c r="B24" s="132"/>
      <c r="C24" s="132"/>
      <c r="D24" s="132"/>
      <c r="E24" s="132"/>
      <c r="F24" s="132"/>
      <c r="G24" s="132"/>
      <c r="H24" s="132"/>
      <c r="I24" s="132"/>
      <c r="J24" s="132"/>
      <c r="K24" s="132"/>
      <c r="L24" s="132"/>
      <c r="S24" s="453">
        <v>550</v>
      </c>
      <c r="T24" s="454">
        <v>12</v>
      </c>
      <c r="U24" s="455">
        <f t="shared" si="6"/>
        <v>108.2</v>
      </c>
      <c r="V24" s="455">
        <f t="shared" si="6"/>
        <v>113.8</v>
      </c>
      <c r="W24" s="455">
        <f t="shared" si="6"/>
        <v>119.6</v>
      </c>
      <c r="X24" s="455">
        <f t="shared" si="6"/>
        <v>125.8</v>
      </c>
      <c r="Y24" s="455">
        <f t="shared" si="6"/>
        <v>132.4</v>
      </c>
      <c r="Z24" s="455">
        <f t="shared" si="6"/>
        <v>139.80000000000001</v>
      </c>
      <c r="AA24" s="455">
        <f t="shared" si="6"/>
        <v>147</v>
      </c>
      <c r="AB24" s="455">
        <f t="shared" si="6"/>
        <v>155.6</v>
      </c>
      <c r="AC24" s="455">
        <f t="shared" si="6"/>
        <v>164.6</v>
      </c>
      <c r="AD24" s="455">
        <f t="shared" si="6"/>
        <v>174.4</v>
      </c>
      <c r="AE24" s="455">
        <f t="shared" si="6"/>
        <v>185.2</v>
      </c>
      <c r="AF24" s="455">
        <f t="shared" si="6"/>
        <v>192.75</v>
      </c>
      <c r="AG24" s="455">
        <f t="shared" si="6"/>
        <v>200.66666666666666</v>
      </c>
      <c r="AH24" s="455">
        <f t="shared" si="6"/>
        <v>209.5</v>
      </c>
      <c r="AI24" s="455">
        <f>AVERAGE(P40:P48)</f>
        <v>209.5</v>
      </c>
    </row>
    <row r="25" spans="1:35" x14ac:dyDescent="0.35">
      <c r="S25" s="453">
        <v>600</v>
      </c>
      <c r="T25" s="454">
        <v>13</v>
      </c>
      <c r="U25" s="455">
        <f t="shared" si="6"/>
        <v>111</v>
      </c>
      <c r="V25" s="455">
        <f t="shared" si="6"/>
        <v>116.75</v>
      </c>
      <c r="W25" s="455">
        <f t="shared" si="6"/>
        <v>122.75</v>
      </c>
      <c r="X25" s="455">
        <f t="shared" si="6"/>
        <v>129</v>
      </c>
      <c r="Y25" s="455">
        <f t="shared" si="6"/>
        <v>135.75</v>
      </c>
      <c r="Z25" s="455">
        <f t="shared" si="6"/>
        <v>143.25</v>
      </c>
      <c r="AA25" s="455">
        <f t="shared" si="6"/>
        <v>150.75</v>
      </c>
      <c r="AB25" s="455">
        <f t="shared" si="6"/>
        <v>159.5</v>
      </c>
      <c r="AC25" s="455">
        <f t="shared" si="6"/>
        <v>168.75</v>
      </c>
      <c r="AD25" s="455">
        <f t="shared" si="6"/>
        <v>178.75</v>
      </c>
      <c r="AE25" s="455">
        <f t="shared" si="6"/>
        <v>189.75</v>
      </c>
      <c r="AF25" s="455">
        <f t="shared" si="6"/>
        <v>197.66666666666666</v>
      </c>
      <c r="AG25" s="455">
        <f t="shared" si="6"/>
        <v>206</v>
      </c>
      <c r="AH25" s="455">
        <f t="shared" si="6"/>
        <v>215</v>
      </c>
      <c r="AI25" s="455">
        <f>AVERAGE(P41:P49)</f>
        <v>215</v>
      </c>
    </row>
    <row r="26" spans="1:35" x14ac:dyDescent="0.35">
      <c r="S26" s="453">
        <v>650</v>
      </c>
      <c r="T26" s="454">
        <v>14</v>
      </c>
      <c r="U26" s="455">
        <f t="shared" ref="U26:AG26" si="7">AVERAGE(C42:C50)</f>
        <v>113.66666666666667</v>
      </c>
      <c r="V26" s="455">
        <f t="shared" si="7"/>
        <v>119.66666666666667</v>
      </c>
      <c r="W26" s="455">
        <f t="shared" si="7"/>
        <v>125.66666666666667</v>
      </c>
      <c r="X26" s="455">
        <f t="shared" si="7"/>
        <v>132</v>
      </c>
      <c r="Y26" s="455">
        <f t="shared" si="7"/>
        <v>139</v>
      </c>
      <c r="Z26" s="455">
        <f t="shared" si="7"/>
        <v>146.66666666666666</v>
      </c>
      <c r="AA26" s="455">
        <f t="shared" si="7"/>
        <v>154.33333333333334</v>
      </c>
      <c r="AB26" s="455">
        <f t="shared" si="7"/>
        <v>163.33333333333334</v>
      </c>
      <c r="AC26" s="455">
        <f t="shared" si="7"/>
        <v>172.66666666666666</v>
      </c>
      <c r="AD26" s="455">
        <f t="shared" si="7"/>
        <v>183</v>
      </c>
      <c r="AE26" s="455">
        <f t="shared" si="7"/>
        <v>194.33333333333334</v>
      </c>
      <c r="AF26" s="455">
        <f t="shared" si="7"/>
        <v>202.5</v>
      </c>
      <c r="AG26" s="455">
        <f t="shared" si="7"/>
        <v>211</v>
      </c>
      <c r="AH26" s="455">
        <f t="shared" ref="AH26:AI28" si="8">AG26</f>
        <v>211</v>
      </c>
      <c r="AI26" s="455">
        <f t="shared" si="8"/>
        <v>211</v>
      </c>
    </row>
    <row r="27" spans="1:35" x14ac:dyDescent="0.35">
      <c r="P27" s="437" t="s">
        <v>299</v>
      </c>
      <c r="S27" s="453">
        <v>700</v>
      </c>
      <c r="T27" s="454">
        <v>15</v>
      </c>
      <c r="U27" s="455">
        <f t="shared" ref="U27:AF27" si="9">AVERAGE(C43:C51)</f>
        <v>116.5</v>
      </c>
      <c r="V27" s="455">
        <f t="shared" si="9"/>
        <v>122.5</v>
      </c>
      <c r="W27" s="455">
        <f t="shared" si="9"/>
        <v>128.5</v>
      </c>
      <c r="X27" s="455">
        <f t="shared" si="9"/>
        <v>135</v>
      </c>
      <c r="Y27" s="455">
        <f t="shared" si="9"/>
        <v>142</v>
      </c>
      <c r="Z27" s="455">
        <f t="shared" si="9"/>
        <v>150</v>
      </c>
      <c r="AA27" s="455">
        <f t="shared" si="9"/>
        <v>158</v>
      </c>
      <c r="AB27" s="455">
        <f t="shared" si="9"/>
        <v>167</v>
      </c>
      <c r="AC27" s="455">
        <f t="shared" si="9"/>
        <v>176.5</v>
      </c>
      <c r="AD27" s="455">
        <f t="shared" si="9"/>
        <v>187</v>
      </c>
      <c r="AE27" s="455">
        <f t="shared" si="9"/>
        <v>198.5</v>
      </c>
      <c r="AF27" s="455">
        <f t="shared" si="9"/>
        <v>207</v>
      </c>
      <c r="AG27" s="455">
        <f>AF27</f>
        <v>207</v>
      </c>
      <c r="AH27" s="455">
        <f t="shared" si="8"/>
        <v>207</v>
      </c>
      <c r="AI27" s="455">
        <f t="shared" si="8"/>
        <v>207</v>
      </c>
    </row>
    <row r="28" spans="1:35" ht="15" customHeight="1" x14ac:dyDescent="0.35">
      <c r="B28" s="891" t="s">
        <v>106</v>
      </c>
      <c r="C28" s="892"/>
      <c r="D28" s="892"/>
      <c r="E28" s="892"/>
      <c r="F28" s="892"/>
      <c r="G28" s="892"/>
      <c r="H28" s="892"/>
      <c r="I28" s="892"/>
      <c r="J28" s="892"/>
      <c r="K28" s="892"/>
      <c r="L28" s="892"/>
      <c r="M28" s="892"/>
      <c r="N28" s="892"/>
      <c r="O28" s="892"/>
      <c r="P28" s="893"/>
      <c r="S28" s="453">
        <v>750</v>
      </c>
      <c r="T28" s="454">
        <v>16</v>
      </c>
      <c r="U28" s="455">
        <f t="shared" ref="U28:AE28" si="10">AVERAGE(C44:C52)</f>
        <v>119</v>
      </c>
      <c r="V28" s="455">
        <f t="shared" si="10"/>
        <v>125</v>
      </c>
      <c r="W28" s="455">
        <f t="shared" si="10"/>
        <v>131</v>
      </c>
      <c r="X28" s="455">
        <f t="shared" si="10"/>
        <v>138</v>
      </c>
      <c r="Y28" s="455">
        <f t="shared" si="10"/>
        <v>145</v>
      </c>
      <c r="Z28" s="455">
        <f t="shared" si="10"/>
        <v>153</v>
      </c>
      <c r="AA28" s="455">
        <f t="shared" si="10"/>
        <v>161</v>
      </c>
      <c r="AB28" s="455">
        <f t="shared" si="10"/>
        <v>171</v>
      </c>
      <c r="AC28" s="455">
        <f t="shared" si="10"/>
        <v>180</v>
      </c>
      <c r="AD28" s="455">
        <f t="shared" si="10"/>
        <v>191</v>
      </c>
      <c r="AE28" s="455">
        <f t="shared" si="10"/>
        <v>203</v>
      </c>
      <c r="AF28" s="455">
        <f>AE28</f>
        <v>203</v>
      </c>
      <c r="AG28" s="455">
        <f>AF28</f>
        <v>203</v>
      </c>
      <c r="AH28" s="455">
        <f t="shared" si="8"/>
        <v>203</v>
      </c>
      <c r="AI28" s="455">
        <f t="shared" si="8"/>
        <v>203</v>
      </c>
    </row>
    <row r="29" spans="1:35" x14ac:dyDescent="0.35">
      <c r="B29" s="894"/>
      <c r="C29" s="895"/>
      <c r="D29" s="895"/>
      <c r="E29" s="895"/>
      <c r="F29" s="895"/>
      <c r="G29" s="895"/>
      <c r="H29" s="895"/>
      <c r="I29" s="895"/>
      <c r="J29" s="895"/>
      <c r="K29" s="895"/>
      <c r="L29" s="895"/>
      <c r="M29" s="895"/>
      <c r="N29" s="895"/>
      <c r="O29" s="895"/>
      <c r="P29" s="896"/>
    </row>
    <row r="30" spans="1:35" ht="23" x14ac:dyDescent="0.35">
      <c r="B30" s="456" t="s">
        <v>287</v>
      </c>
      <c r="C30" s="452">
        <v>700</v>
      </c>
      <c r="D30" s="452">
        <v>800</v>
      </c>
      <c r="E30" s="452">
        <v>900</v>
      </c>
      <c r="F30" s="452">
        <v>1000</v>
      </c>
      <c r="G30" s="452">
        <v>1100</v>
      </c>
      <c r="H30" s="452">
        <v>1200</v>
      </c>
      <c r="I30" s="452">
        <v>1300</v>
      </c>
      <c r="J30" s="452">
        <v>1400</v>
      </c>
      <c r="K30" s="452">
        <v>1500</v>
      </c>
      <c r="L30" s="452">
        <v>1600</v>
      </c>
      <c r="M30" s="452">
        <v>1700</v>
      </c>
      <c r="N30" s="452">
        <v>1800</v>
      </c>
      <c r="O30" s="452">
        <v>1900</v>
      </c>
      <c r="P30" s="452">
        <v>2000</v>
      </c>
    </row>
    <row r="31" spans="1:35" x14ac:dyDescent="0.35">
      <c r="B31" s="452" t="s">
        <v>313</v>
      </c>
      <c r="C31" s="452">
        <v>35</v>
      </c>
      <c r="D31" s="452">
        <v>37</v>
      </c>
      <c r="E31" s="452">
        <v>40</v>
      </c>
      <c r="F31" s="452">
        <v>42</v>
      </c>
      <c r="G31" s="452">
        <v>44</v>
      </c>
      <c r="H31" s="452">
        <v>47</v>
      </c>
      <c r="I31" s="452">
        <v>50</v>
      </c>
      <c r="J31" s="452">
        <v>54</v>
      </c>
      <c r="K31" s="452">
        <v>57</v>
      </c>
      <c r="L31" s="452">
        <v>61</v>
      </c>
      <c r="M31" s="452">
        <v>66</v>
      </c>
      <c r="N31" s="452"/>
      <c r="O31" s="452"/>
      <c r="P31" s="452"/>
    </row>
    <row r="32" spans="1:35" x14ac:dyDescent="0.35">
      <c r="B32" s="452" t="s">
        <v>314</v>
      </c>
      <c r="C32" s="452">
        <v>44</v>
      </c>
      <c r="D32" s="452">
        <v>46</v>
      </c>
      <c r="E32" s="452">
        <v>49</v>
      </c>
      <c r="F32" s="452">
        <v>51</v>
      </c>
      <c r="G32" s="452">
        <v>54</v>
      </c>
      <c r="H32" s="452">
        <v>58</v>
      </c>
      <c r="I32" s="452">
        <v>61</v>
      </c>
      <c r="J32" s="452">
        <v>65</v>
      </c>
      <c r="K32" s="452">
        <v>69</v>
      </c>
      <c r="L32" s="452">
        <v>73</v>
      </c>
      <c r="M32" s="452">
        <v>78</v>
      </c>
      <c r="N32" s="452">
        <v>84</v>
      </c>
      <c r="O32" s="452"/>
      <c r="P32" s="452"/>
    </row>
    <row r="33" spans="2:23" x14ac:dyDescent="0.35">
      <c r="B33" s="452" t="s">
        <v>315</v>
      </c>
      <c r="C33" s="452">
        <v>51</v>
      </c>
      <c r="D33" s="452">
        <v>54</v>
      </c>
      <c r="E33" s="452">
        <v>57</v>
      </c>
      <c r="F33" s="452">
        <v>60</v>
      </c>
      <c r="G33" s="452">
        <v>64</v>
      </c>
      <c r="H33" s="452">
        <v>67</v>
      </c>
      <c r="I33" s="452">
        <v>71</v>
      </c>
      <c r="J33" s="452">
        <v>75</v>
      </c>
      <c r="K33" s="452">
        <v>80</v>
      </c>
      <c r="L33" s="452">
        <v>85</v>
      </c>
      <c r="M33" s="452">
        <v>91</v>
      </c>
      <c r="N33" s="452">
        <v>97</v>
      </c>
      <c r="O33" s="452">
        <v>104</v>
      </c>
      <c r="P33" s="452"/>
    </row>
    <row r="34" spans="2:23" x14ac:dyDescent="0.35">
      <c r="B34" s="452" t="s">
        <v>316</v>
      </c>
      <c r="C34" s="452">
        <v>59</v>
      </c>
      <c r="D34" s="452">
        <v>62</v>
      </c>
      <c r="E34" s="452">
        <v>65</v>
      </c>
      <c r="F34" s="452">
        <v>69</v>
      </c>
      <c r="G34" s="452">
        <v>73</v>
      </c>
      <c r="H34" s="452">
        <v>77</v>
      </c>
      <c r="I34" s="452">
        <v>81</v>
      </c>
      <c r="J34" s="452">
        <v>86</v>
      </c>
      <c r="K34" s="452">
        <v>91</v>
      </c>
      <c r="L34" s="452">
        <v>97</v>
      </c>
      <c r="M34" s="452">
        <v>103</v>
      </c>
      <c r="N34" s="452">
        <v>110</v>
      </c>
      <c r="O34" s="452">
        <v>118</v>
      </c>
      <c r="P34" s="452">
        <v>121</v>
      </c>
    </row>
    <row r="35" spans="2:23" x14ac:dyDescent="0.35">
      <c r="B35" s="452" t="s">
        <v>317</v>
      </c>
      <c r="C35" s="452">
        <v>66</v>
      </c>
      <c r="D35" s="452">
        <v>69</v>
      </c>
      <c r="E35" s="452">
        <v>73</v>
      </c>
      <c r="F35" s="452">
        <v>77</v>
      </c>
      <c r="G35" s="452">
        <v>81</v>
      </c>
      <c r="H35" s="452">
        <v>85</v>
      </c>
      <c r="I35" s="452">
        <v>90</v>
      </c>
      <c r="J35" s="452">
        <v>96</v>
      </c>
      <c r="K35" s="452">
        <v>101</v>
      </c>
      <c r="L35" s="452">
        <v>108</v>
      </c>
      <c r="M35" s="452">
        <v>115</v>
      </c>
      <c r="N35" s="452">
        <v>122</v>
      </c>
      <c r="O35" s="452">
        <v>131</v>
      </c>
      <c r="P35" s="452">
        <v>141</v>
      </c>
    </row>
    <row r="36" spans="2:23" x14ac:dyDescent="0.35">
      <c r="B36" s="452" t="s">
        <v>318</v>
      </c>
      <c r="C36" s="452">
        <v>73</v>
      </c>
      <c r="D36" s="452">
        <v>76</v>
      </c>
      <c r="E36" s="452">
        <v>80</v>
      </c>
      <c r="F36" s="452">
        <v>85</v>
      </c>
      <c r="G36" s="452">
        <v>89</v>
      </c>
      <c r="H36" s="452">
        <v>94</v>
      </c>
      <c r="I36" s="452">
        <v>99</v>
      </c>
      <c r="J36" s="452">
        <v>105</v>
      </c>
      <c r="K36" s="452">
        <v>111</v>
      </c>
      <c r="L36" s="452">
        <v>118</v>
      </c>
      <c r="M36" s="452">
        <v>126</v>
      </c>
      <c r="N36" s="452">
        <v>134</v>
      </c>
      <c r="O36" s="452">
        <v>144</v>
      </c>
      <c r="P36" s="452">
        <v>154</v>
      </c>
    </row>
    <row r="37" spans="2:23" x14ac:dyDescent="0.35">
      <c r="B37" s="452" t="s">
        <v>319</v>
      </c>
      <c r="C37" s="452">
        <v>79</v>
      </c>
      <c r="D37" s="452">
        <v>83</v>
      </c>
      <c r="E37" s="452">
        <v>87</v>
      </c>
      <c r="F37" s="452">
        <v>92</v>
      </c>
      <c r="G37" s="452">
        <v>97</v>
      </c>
      <c r="H37" s="452">
        <v>102</v>
      </c>
      <c r="I37" s="452">
        <v>108</v>
      </c>
      <c r="J37" s="452">
        <v>114</v>
      </c>
      <c r="K37" s="452">
        <v>121</v>
      </c>
      <c r="L37" s="452">
        <v>129</v>
      </c>
      <c r="M37" s="452">
        <v>137</v>
      </c>
      <c r="N37" s="452">
        <v>146</v>
      </c>
      <c r="O37" s="452">
        <v>156</v>
      </c>
      <c r="P37" s="452">
        <v>167</v>
      </c>
    </row>
    <row r="38" spans="2:23" x14ac:dyDescent="0.35">
      <c r="B38" s="452" t="s">
        <v>320</v>
      </c>
      <c r="C38" s="452">
        <v>85</v>
      </c>
      <c r="D38" s="452">
        <v>90</v>
      </c>
      <c r="E38" s="452">
        <v>94</v>
      </c>
      <c r="F38" s="452">
        <v>99</v>
      </c>
      <c r="G38" s="452">
        <v>105</v>
      </c>
      <c r="H38" s="452">
        <v>110</v>
      </c>
      <c r="I38" s="452">
        <v>116</v>
      </c>
      <c r="J38" s="452">
        <v>123</v>
      </c>
      <c r="K38" s="452">
        <v>130</v>
      </c>
      <c r="L38" s="452">
        <v>138</v>
      </c>
      <c r="M38" s="452">
        <v>147</v>
      </c>
      <c r="N38" s="452">
        <v>157</v>
      </c>
      <c r="O38" s="452">
        <v>1168</v>
      </c>
      <c r="P38" s="452">
        <v>180</v>
      </c>
    </row>
    <row r="39" spans="2:23" x14ac:dyDescent="0.35">
      <c r="B39" s="452" t="s">
        <v>321</v>
      </c>
      <c r="C39" s="452">
        <v>91</v>
      </c>
      <c r="D39" s="452">
        <v>96</v>
      </c>
      <c r="E39" s="452">
        <v>101</v>
      </c>
      <c r="F39" s="452">
        <v>106</v>
      </c>
      <c r="G39" s="452">
        <v>112</v>
      </c>
      <c r="H39" s="452">
        <v>118</v>
      </c>
      <c r="I39" s="452">
        <v>125</v>
      </c>
      <c r="J39" s="452">
        <v>132</v>
      </c>
      <c r="K39" s="452">
        <v>140</v>
      </c>
      <c r="L39" s="452">
        <v>148</v>
      </c>
      <c r="M39" s="452">
        <v>157</v>
      </c>
      <c r="N39" s="452">
        <v>168</v>
      </c>
      <c r="O39" s="452">
        <v>179</v>
      </c>
      <c r="P39" s="452">
        <v>192</v>
      </c>
    </row>
    <row r="40" spans="2:23" x14ac:dyDescent="0.35">
      <c r="B40" s="452" t="s">
        <v>322</v>
      </c>
      <c r="C40" s="452">
        <v>97</v>
      </c>
      <c r="D40" s="452">
        <v>102</v>
      </c>
      <c r="E40" s="452">
        <v>107</v>
      </c>
      <c r="F40" s="452">
        <v>113</v>
      </c>
      <c r="G40" s="452">
        <v>119</v>
      </c>
      <c r="H40" s="452">
        <v>126</v>
      </c>
      <c r="I40" s="452">
        <v>132</v>
      </c>
      <c r="J40" s="452">
        <v>140</v>
      </c>
      <c r="K40" s="452">
        <v>148</v>
      </c>
      <c r="L40" s="452">
        <v>157</v>
      </c>
      <c r="M40" s="452">
        <v>167</v>
      </c>
      <c r="N40" s="452">
        <v>178</v>
      </c>
      <c r="O40" s="452">
        <v>190</v>
      </c>
      <c r="P40" s="452">
        <v>204</v>
      </c>
    </row>
    <row r="41" spans="2:23" x14ac:dyDescent="0.35">
      <c r="B41" s="452" t="s">
        <v>323</v>
      </c>
      <c r="C41" s="452">
        <v>103</v>
      </c>
      <c r="D41" s="452">
        <v>108</v>
      </c>
      <c r="E41" s="452">
        <v>114</v>
      </c>
      <c r="F41" s="452">
        <v>120</v>
      </c>
      <c r="G41" s="452">
        <v>126</v>
      </c>
      <c r="H41" s="452">
        <v>133</v>
      </c>
      <c r="I41" s="452">
        <v>140</v>
      </c>
      <c r="J41" s="452">
        <v>148</v>
      </c>
      <c r="K41" s="452">
        <v>157</v>
      </c>
      <c r="L41" s="452">
        <v>166</v>
      </c>
      <c r="M41" s="452">
        <v>176</v>
      </c>
      <c r="N41" s="452">
        <v>188</v>
      </c>
      <c r="O41" s="452">
        <v>201</v>
      </c>
      <c r="P41" s="452">
        <v>215</v>
      </c>
    </row>
    <row r="42" spans="2:23" x14ac:dyDescent="0.35">
      <c r="B42" s="452" t="s">
        <v>324</v>
      </c>
      <c r="C42" s="452">
        <v>108</v>
      </c>
      <c r="D42" s="452">
        <v>114</v>
      </c>
      <c r="E42" s="452">
        <v>120</v>
      </c>
      <c r="F42" s="452">
        <v>126</v>
      </c>
      <c r="G42" s="452">
        <v>133</v>
      </c>
      <c r="H42" s="452">
        <v>140</v>
      </c>
      <c r="I42" s="452">
        <v>147</v>
      </c>
      <c r="J42" s="452">
        <v>156</v>
      </c>
      <c r="K42" s="452">
        <v>165</v>
      </c>
      <c r="L42" s="452">
        <v>175</v>
      </c>
      <c r="M42" s="452">
        <v>186</v>
      </c>
      <c r="N42" s="452">
        <v>198</v>
      </c>
      <c r="O42" s="452">
        <v>211</v>
      </c>
      <c r="P42" s="452"/>
    </row>
    <row r="43" spans="2:23" x14ac:dyDescent="0.35">
      <c r="B43" s="452" t="s">
        <v>325</v>
      </c>
      <c r="C43" s="452">
        <v>114</v>
      </c>
      <c r="D43" s="452">
        <v>120</v>
      </c>
      <c r="E43" s="452">
        <v>126</v>
      </c>
      <c r="F43" s="452">
        <v>132</v>
      </c>
      <c r="G43" s="452">
        <v>139</v>
      </c>
      <c r="H43" s="452">
        <v>147</v>
      </c>
      <c r="I43" s="452">
        <v>155</v>
      </c>
      <c r="J43" s="452">
        <v>163</v>
      </c>
      <c r="K43" s="452">
        <v>173</v>
      </c>
      <c r="L43" s="452">
        <v>183</v>
      </c>
      <c r="M43" s="452">
        <v>194</v>
      </c>
      <c r="N43" s="452">
        <v>207</v>
      </c>
      <c r="O43" s="452"/>
      <c r="P43" s="452"/>
    </row>
    <row r="44" spans="2:23" x14ac:dyDescent="0.35">
      <c r="B44" s="452" t="s">
        <v>326</v>
      </c>
      <c r="C44" s="452">
        <v>119</v>
      </c>
      <c r="D44" s="452">
        <v>125</v>
      </c>
      <c r="E44" s="452">
        <v>131</v>
      </c>
      <c r="F44" s="452">
        <v>138</v>
      </c>
      <c r="G44" s="452">
        <v>145</v>
      </c>
      <c r="H44" s="452">
        <v>153</v>
      </c>
      <c r="I44" s="452">
        <v>161</v>
      </c>
      <c r="J44" s="452">
        <v>171</v>
      </c>
      <c r="K44" s="452">
        <v>180</v>
      </c>
      <c r="L44" s="452">
        <v>191</v>
      </c>
      <c r="M44" s="452">
        <v>203</v>
      </c>
      <c r="N44" s="452"/>
      <c r="O44" s="452"/>
      <c r="P44" s="452"/>
    </row>
    <row r="46" spans="2:23" x14ac:dyDescent="0.35">
      <c r="S46" s="457"/>
      <c r="T46" s="458"/>
      <c r="U46" s="458"/>
      <c r="V46" s="458"/>
      <c r="W46" s="459"/>
    </row>
    <row r="47" spans="2:23" x14ac:dyDescent="0.35">
      <c r="S47" s="460"/>
      <c r="T47" s="461"/>
      <c r="U47" s="461"/>
      <c r="V47" s="461"/>
      <c r="W47" s="459"/>
    </row>
    <row r="48" spans="2:23" x14ac:dyDescent="0.35">
      <c r="S48" s="460"/>
      <c r="T48" s="461"/>
      <c r="U48" s="461"/>
      <c r="V48" s="461"/>
      <c r="W48" s="459"/>
    </row>
    <row r="49" spans="19:23" x14ac:dyDescent="0.35">
      <c r="S49" s="460"/>
      <c r="T49" s="461"/>
      <c r="U49" s="461"/>
      <c r="V49" s="461"/>
      <c r="W49" s="459"/>
    </row>
    <row r="50" spans="19:23" x14ac:dyDescent="0.35">
      <c r="S50" s="460"/>
      <c r="T50" s="461"/>
      <c r="U50" s="461"/>
      <c r="V50" s="461"/>
      <c r="W50" s="459"/>
    </row>
    <row r="51" spans="19:23" x14ac:dyDescent="0.35">
      <c r="S51" s="462"/>
      <c r="T51" s="459"/>
      <c r="U51" s="459"/>
      <c r="V51" s="459"/>
      <c r="W51" s="459"/>
    </row>
  </sheetData>
  <sheetProtection algorithmName="SHA-512" hashValue="s568B7S1GSLPLdq7g9Mz4Sar3jBq2zrlgUDMc/BHQqFBJF4Y6cSMX/HjXAOuVoNSl0FT44IcDMZGK9hMwmGl3w==" saltValue="fCWGBQodvGeQM8W22BnrSQ==" spinCount="100000" sheet="1" objects="1" scenarios="1"/>
  <mergeCells count="5">
    <mergeCell ref="I16:K16"/>
    <mergeCell ref="I17:K17"/>
    <mergeCell ref="I18:K18"/>
    <mergeCell ref="B28:P29"/>
    <mergeCell ref="N2:P2"/>
  </mergeCells>
  <hyperlinks>
    <hyperlink ref="I18" r:id="rId1" xr:uid="{00000000-0004-0000-1300-000000000000}"/>
    <hyperlink ref="P27" r:id="rId2" xr:uid="{00000000-0004-0000-1300-000001000000}"/>
    <hyperlink ref="I18:K18" r:id="rId3" display="Luke.fi/rehutaulukot" xr:uid="{00000000-0004-0000-1300-000002000000}"/>
    <hyperlink ref="N2" r:id="rId4" xr:uid="{00000000-0004-0000-1300-000003000000}"/>
    <hyperlink ref="N2:P2" r:id="rId5" display="Luke.fi/rehutaulukot" xr:uid="{00000000-0004-0000-1300-000004000000}"/>
  </hyperlinks>
  <pageMargins left="0.23622047244094491" right="0.23622047244094491" top="0.74803149606299213" bottom="1.1417322834645669" header="0.31496062992125984" footer="0.31496062992125984"/>
  <pageSetup paperSize="9" orientation="landscape" r:id="rId6"/>
  <drawing r:id="rId7"/>
  <legacyDrawing r:id="rId8"/>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AF46"/>
  <sheetViews>
    <sheetView workbookViewId="0">
      <pane ySplit="10" topLeftCell="A11" activePane="bottomLeft" state="frozen"/>
      <selection activeCell="E1" sqref="E1"/>
      <selection pane="bottomLeft" activeCell="D1" sqref="D1"/>
    </sheetView>
  </sheetViews>
  <sheetFormatPr defaultColWidth="9.1796875" defaultRowHeight="14.5" x14ac:dyDescent="0.35"/>
  <cols>
    <col min="1" max="1" width="2.6328125" style="447" customWidth="1"/>
    <col min="2" max="13" width="8.6328125" style="447" customWidth="1"/>
    <col min="14" max="15" width="9.1796875" style="447" customWidth="1"/>
    <col min="16" max="16" width="9.1796875" style="447"/>
    <col min="17" max="18" width="2.6328125" style="447" customWidth="1"/>
    <col min="19" max="16384" width="9.1796875" style="447"/>
  </cols>
  <sheetData>
    <row r="1" spans="1:32" s="439" customFormat="1" ht="27" customHeight="1" x14ac:dyDescent="0.35">
      <c r="D1" s="440" t="s">
        <v>327</v>
      </c>
      <c r="N1" s="408" t="s">
        <v>693</v>
      </c>
    </row>
    <row r="2" spans="1:32" s="444" customFormat="1" ht="14.25" customHeight="1" x14ac:dyDescent="0.35">
      <c r="A2" s="442"/>
      <c r="B2" s="443"/>
      <c r="N2" s="897" t="s">
        <v>299</v>
      </c>
      <c r="O2" s="897"/>
      <c r="P2" s="897"/>
    </row>
    <row r="3" spans="1:32" ht="22.5" customHeight="1" x14ac:dyDescent="0.5">
      <c r="A3" s="463"/>
      <c r="B3" s="446" t="s">
        <v>40</v>
      </c>
    </row>
    <row r="4" spans="1:32" ht="39" x14ac:dyDescent="0.35">
      <c r="B4" s="133" t="s">
        <v>301</v>
      </c>
      <c r="C4" s="133" t="s">
        <v>103</v>
      </c>
      <c r="D4" s="133" t="s">
        <v>302</v>
      </c>
      <c r="E4" s="133" t="s">
        <v>303</v>
      </c>
      <c r="F4" s="133" t="s">
        <v>705</v>
      </c>
      <c r="G4" s="133" t="s">
        <v>304</v>
      </c>
      <c r="H4" s="133" t="s">
        <v>305</v>
      </c>
      <c r="I4" s="133" t="s">
        <v>306</v>
      </c>
      <c r="J4" s="133" t="s">
        <v>304</v>
      </c>
      <c r="K4" s="133" t="s">
        <v>307</v>
      </c>
    </row>
    <row r="5" spans="1:32" ht="14.25" customHeight="1" thickBot="1" x14ac:dyDescent="0.4">
      <c r="B5" s="166">
        <f>Energiantarve!F38</f>
        <v>40</v>
      </c>
      <c r="C5" s="167">
        <f>Energiantarve!G38</f>
        <v>306.66666666666669</v>
      </c>
      <c r="D5" s="166">
        <f>Energiantarve!J38</f>
        <v>25</v>
      </c>
      <c r="E5" s="166">
        <f>D5*30</f>
        <v>750</v>
      </c>
      <c r="F5" s="167">
        <f>IF(E5=0,0,(C5-B5)/E5*1000)</f>
        <v>355.55555555555554</v>
      </c>
      <c r="G5" s="168">
        <f>IF(F5=0,0,HLOOKUP($F$5,$U$13:$AF$22,T13))</f>
        <v>49.725000000000001</v>
      </c>
      <c r="H5" s="23">
        <f>Energiantarve!M38*-10%</f>
        <v>-2.0000000000000004E-2</v>
      </c>
      <c r="I5" s="169"/>
      <c r="J5" s="167">
        <f>G5+(G5*H5)+(G5*I5)</f>
        <v>48.730499999999999</v>
      </c>
      <c r="K5" s="167">
        <f>E5*J5</f>
        <v>36547.875</v>
      </c>
    </row>
    <row r="6" spans="1:32" ht="14.25" customHeight="1" x14ac:dyDescent="0.35">
      <c r="B6" s="140" t="s">
        <v>311</v>
      </c>
      <c r="C6" s="141"/>
      <c r="D6" s="142"/>
      <c r="E6" s="141" t="s">
        <v>291</v>
      </c>
      <c r="F6" s="142"/>
      <c r="G6" s="141"/>
      <c r="H6" s="141"/>
      <c r="I6" s="141"/>
      <c r="J6" s="141"/>
      <c r="K6" s="144"/>
    </row>
    <row r="7" spans="1:32" ht="14.25" customHeight="1" x14ac:dyDescent="0.35">
      <c r="B7" s="145" t="s">
        <v>309</v>
      </c>
      <c r="C7" s="146"/>
      <c r="D7" s="132"/>
      <c r="E7" s="170">
        <f>K5</f>
        <v>36547.875</v>
      </c>
      <c r="F7" s="148"/>
      <c r="G7" s="147"/>
      <c r="H7" s="146"/>
      <c r="I7" s="146"/>
      <c r="J7" s="146"/>
      <c r="K7" s="149"/>
    </row>
    <row r="8" spans="1:32" ht="14.25" customHeight="1" x14ac:dyDescent="0.35">
      <c r="B8" s="145"/>
      <c r="C8" s="146"/>
      <c r="D8" s="146"/>
      <c r="E8" s="170"/>
      <c r="F8" s="153"/>
      <c r="G8" s="147"/>
      <c r="H8" s="146"/>
      <c r="I8" s="146"/>
      <c r="J8" s="146"/>
      <c r="K8" s="149"/>
    </row>
    <row r="9" spans="1:32" ht="14.25" customHeight="1" thickBot="1" x14ac:dyDescent="0.4">
      <c r="B9" s="154" t="s">
        <v>295</v>
      </c>
      <c r="C9" s="155"/>
      <c r="D9" s="155"/>
      <c r="E9" s="156">
        <f>SUM(E7:E8)</f>
        <v>36547.875</v>
      </c>
      <c r="F9" s="157"/>
      <c r="G9" s="158"/>
      <c r="H9" s="155"/>
      <c r="I9" s="155"/>
      <c r="J9" s="155"/>
      <c r="K9" s="159"/>
    </row>
    <row r="10" spans="1:32" ht="14.25" customHeight="1" x14ac:dyDescent="0.35"/>
    <row r="11" spans="1:32" s="444" customFormat="1" ht="14.25" customHeight="1" x14ac:dyDescent="0.35">
      <c r="A11" s="442"/>
      <c r="B11" s="443"/>
    </row>
    <row r="12" spans="1:32" ht="22.5" customHeight="1" x14ac:dyDescent="0.5">
      <c r="A12" s="463"/>
      <c r="B12" s="446" t="s">
        <v>296</v>
      </c>
      <c r="S12" s="448"/>
      <c r="T12" s="449" t="s">
        <v>630</v>
      </c>
      <c r="U12" s="450" t="s">
        <v>631</v>
      </c>
    </row>
    <row r="13" spans="1:32" ht="39" x14ac:dyDescent="0.35">
      <c r="A13" s="132"/>
      <c r="B13" s="133" t="s">
        <v>301</v>
      </c>
      <c r="C13" s="133" t="s">
        <v>103</v>
      </c>
      <c r="D13" s="133" t="s">
        <v>302</v>
      </c>
      <c r="E13" s="133" t="s">
        <v>303</v>
      </c>
      <c r="F13" s="133" t="s">
        <v>705</v>
      </c>
      <c r="G13" s="133" t="s">
        <v>304</v>
      </c>
      <c r="H13" s="133" t="s">
        <v>310</v>
      </c>
      <c r="I13" s="133" t="s">
        <v>306</v>
      </c>
      <c r="J13" s="133" t="s">
        <v>304</v>
      </c>
      <c r="K13" s="133" t="s">
        <v>307</v>
      </c>
      <c r="L13" s="132"/>
      <c r="S13" s="435" t="s">
        <v>301</v>
      </c>
      <c r="T13" s="451">
        <f>VLOOKUP(B5,S14:T28,2)</f>
        <v>2</v>
      </c>
      <c r="U13" s="669">
        <v>0</v>
      </c>
      <c r="V13" s="452">
        <v>500</v>
      </c>
      <c r="W13" s="452">
        <v>600</v>
      </c>
      <c r="X13" s="452">
        <v>700</v>
      </c>
      <c r="Y13" s="452">
        <v>800</v>
      </c>
      <c r="Z13" s="452">
        <v>900</v>
      </c>
      <c r="AA13" s="452">
        <v>1000</v>
      </c>
      <c r="AB13" s="452">
        <v>1100</v>
      </c>
      <c r="AC13" s="452">
        <v>1200</v>
      </c>
      <c r="AD13" s="452">
        <v>1300</v>
      </c>
      <c r="AE13" s="452">
        <v>1400</v>
      </c>
      <c r="AF13" s="452">
        <v>1500</v>
      </c>
    </row>
    <row r="14" spans="1:32" ht="15" thickBot="1" x14ac:dyDescent="0.4">
      <c r="A14" s="132"/>
      <c r="B14" s="171">
        <v>100</v>
      </c>
      <c r="C14" s="171">
        <v>600</v>
      </c>
      <c r="D14" s="171">
        <v>18</v>
      </c>
      <c r="E14" s="166">
        <f>D14*30</f>
        <v>540</v>
      </c>
      <c r="F14" s="167">
        <f>IF(E14=0,0,(C14-B14)/E14*1000)</f>
        <v>925.92592592592598</v>
      </c>
      <c r="G14" s="168">
        <v>80.125</v>
      </c>
      <c r="H14" s="172">
        <v>-0.1</v>
      </c>
      <c r="I14" s="172"/>
      <c r="J14" s="167">
        <f>G14+(G14*H14)+(G14*I14)</f>
        <v>72.112499999999997</v>
      </c>
      <c r="K14" s="167">
        <f>E14*J14</f>
        <v>38940.75</v>
      </c>
      <c r="L14" s="132"/>
      <c r="S14" s="453">
        <v>0</v>
      </c>
      <c r="T14" s="454">
        <v>2</v>
      </c>
      <c r="U14" s="670">
        <f>AVERAGE(C29:C36)*90%</f>
        <v>49.725000000000001</v>
      </c>
      <c r="V14" s="455">
        <f>AVERAGE(C29:C36)</f>
        <v>55.25</v>
      </c>
      <c r="W14" s="455">
        <f t="shared" ref="W14:AF14" si="0">AVERAGE(D29:D36)</f>
        <v>59.25</v>
      </c>
      <c r="X14" s="455">
        <f t="shared" si="0"/>
        <v>63.875</v>
      </c>
      <c r="Y14" s="455">
        <f t="shared" si="0"/>
        <v>68.75</v>
      </c>
      <c r="Z14" s="455">
        <f t="shared" si="0"/>
        <v>74.125</v>
      </c>
      <c r="AA14" s="455">
        <f t="shared" si="0"/>
        <v>80.125</v>
      </c>
      <c r="AB14" s="455">
        <f t="shared" si="0"/>
        <v>86.625</v>
      </c>
      <c r="AC14" s="455">
        <f t="shared" si="0"/>
        <v>93.875</v>
      </c>
      <c r="AD14" s="455">
        <f t="shared" si="0"/>
        <v>102</v>
      </c>
      <c r="AE14" s="455">
        <f t="shared" si="0"/>
        <v>117.42857142857143</v>
      </c>
      <c r="AF14" s="455">
        <f t="shared" si="0"/>
        <v>135.16666666666666</v>
      </c>
    </row>
    <row r="15" spans="1:32" x14ac:dyDescent="0.35">
      <c r="A15" s="132"/>
      <c r="B15" s="140" t="s">
        <v>311</v>
      </c>
      <c r="C15" s="141"/>
      <c r="D15" s="142"/>
      <c r="E15" s="141" t="s">
        <v>291</v>
      </c>
      <c r="F15" s="142"/>
      <c r="G15" s="141"/>
      <c r="H15" s="141"/>
      <c r="I15" s="143"/>
      <c r="J15" s="141"/>
      <c r="K15" s="144"/>
      <c r="L15" s="132"/>
      <c r="S15" s="453">
        <v>100</v>
      </c>
      <c r="T15" s="454">
        <v>3</v>
      </c>
      <c r="U15" s="670">
        <f t="shared" ref="U15:U20" si="1">AVERAGE(C30:C37)*90%</f>
        <v>52.714285714285715</v>
      </c>
      <c r="V15" s="455">
        <f>AVERAGE(C29:C36)</f>
        <v>55.25</v>
      </c>
      <c r="W15" s="455">
        <f t="shared" ref="W15:AF16" si="2">AVERAGE(D29:D36)</f>
        <v>59.25</v>
      </c>
      <c r="X15" s="455">
        <f t="shared" si="2"/>
        <v>63.875</v>
      </c>
      <c r="Y15" s="455">
        <f t="shared" si="2"/>
        <v>68.75</v>
      </c>
      <c r="Z15" s="455">
        <f t="shared" si="2"/>
        <v>74.125</v>
      </c>
      <c r="AA15" s="455">
        <f t="shared" si="2"/>
        <v>80.125</v>
      </c>
      <c r="AB15" s="455">
        <f t="shared" si="2"/>
        <v>86.625</v>
      </c>
      <c r="AC15" s="455">
        <f t="shared" si="2"/>
        <v>93.875</v>
      </c>
      <c r="AD15" s="455">
        <f t="shared" si="2"/>
        <v>102</v>
      </c>
      <c r="AE15" s="455">
        <f t="shared" si="2"/>
        <v>117.42857142857143</v>
      </c>
      <c r="AF15" s="455">
        <f t="shared" si="2"/>
        <v>135.16666666666666</v>
      </c>
    </row>
    <row r="16" spans="1:32" x14ac:dyDescent="0.35">
      <c r="A16" s="132"/>
      <c r="B16" s="145" t="s">
        <v>309</v>
      </c>
      <c r="C16" s="146"/>
      <c r="D16" s="132"/>
      <c r="E16" s="170">
        <f>K14</f>
        <v>38940.75</v>
      </c>
      <c r="F16" s="148"/>
      <c r="G16" s="147"/>
      <c r="H16" s="146"/>
      <c r="I16" s="881" t="s">
        <v>328</v>
      </c>
      <c r="J16" s="881"/>
      <c r="K16" s="882"/>
      <c r="L16" s="132"/>
      <c r="S16" s="453">
        <v>150</v>
      </c>
      <c r="T16" s="454">
        <v>4</v>
      </c>
      <c r="U16" s="670">
        <f t="shared" si="1"/>
        <v>55.650000000000006</v>
      </c>
      <c r="V16" s="455">
        <f>AVERAGE(C30:C37)</f>
        <v>58.571428571428569</v>
      </c>
      <c r="W16" s="455">
        <f t="shared" si="2"/>
        <v>62.857142857142854</v>
      </c>
      <c r="X16" s="455">
        <f t="shared" si="2"/>
        <v>67.714285714285708</v>
      </c>
      <c r="Y16" s="455">
        <f t="shared" si="2"/>
        <v>72.857142857142861</v>
      </c>
      <c r="Z16" s="455">
        <f t="shared" si="2"/>
        <v>78.428571428571431</v>
      </c>
      <c r="AA16" s="455">
        <f t="shared" si="2"/>
        <v>84.714285714285708</v>
      </c>
      <c r="AB16" s="455">
        <f t="shared" si="2"/>
        <v>91.571428571428569</v>
      </c>
      <c r="AC16" s="455">
        <f t="shared" si="2"/>
        <v>99.142857142857139</v>
      </c>
      <c r="AD16" s="455">
        <f t="shared" si="2"/>
        <v>107.57142857142857</v>
      </c>
      <c r="AE16" s="455">
        <f t="shared" si="2"/>
        <v>117.42857142857143</v>
      </c>
      <c r="AF16" s="455">
        <f t="shared" si="2"/>
        <v>135.16666666666666</v>
      </c>
    </row>
    <row r="17" spans="1:32" x14ac:dyDescent="0.35">
      <c r="A17" s="132"/>
      <c r="B17" s="145"/>
      <c r="C17" s="146"/>
      <c r="D17" s="146"/>
      <c r="E17" s="170"/>
      <c r="F17" s="153"/>
      <c r="G17" s="147"/>
      <c r="H17" s="146"/>
      <c r="I17" s="881" t="s">
        <v>298</v>
      </c>
      <c r="J17" s="881"/>
      <c r="K17" s="882"/>
      <c r="L17" s="132"/>
      <c r="S17" s="453">
        <v>200</v>
      </c>
      <c r="T17" s="454">
        <v>5</v>
      </c>
      <c r="U17" s="670">
        <f t="shared" si="1"/>
        <v>58.5</v>
      </c>
      <c r="V17" s="455">
        <f t="shared" ref="V17:AF17" si="3">AVERAGE(C31:C37)</f>
        <v>61.833333333333336</v>
      </c>
      <c r="W17" s="455">
        <f t="shared" si="3"/>
        <v>66.333333333333329</v>
      </c>
      <c r="X17" s="455">
        <f t="shared" si="3"/>
        <v>71.333333333333329</v>
      </c>
      <c r="Y17" s="455">
        <f t="shared" si="3"/>
        <v>76.833333333333329</v>
      </c>
      <c r="Z17" s="455">
        <f t="shared" si="3"/>
        <v>82.666666666666671</v>
      </c>
      <c r="AA17" s="455">
        <f t="shared" si="3"/>
        <v>89.166666666666671</v>
      </c>
      <c r="AB17" s="455">
        <f t="shared" si="3"/>
        <v>96.333333333333329</v>
      </c>
      <c r="AC17" s="455">
        <f t="shared" si="3"/>
        <v>104.33333333333333</v>
      </c>
      <c r="AD17" s="455">
        <f t="shared" si="3"/>
        <v>113</v>
      </c>
      <c r="AE17" s="455">
        <f t="shared" si="3"/>
        <v>123.33333333333333</v>
      </c>
      <c r="AF17" s="455">
        <f t="shared" si="3"/>
        <v>135.16666666666666</v>
      </c>
    </row>
    <row r="18" spans="1:32" ht="15" thickBot="1" x14ac:dyDescent="0.4">
      <c r="A18" s="132"/>
      <c r="B18" s="154" t="s">
        <v>295</v>
      </c>
      <c r="C18" s="155"/>
      <c r="D18" s="155"/>
      <c r="E18" s="156">
        <f>SUM(E16:E17)</f>
        <v>38940.75</v>
      </c>
      <c r="F18" s="157"/>
      <c r="G18" s="158"/>
      <c r="H18" s="155"/>
      <c r="I18" s="889" t="s">
        <v>299</v>
      </c>
      <c r="J18" s="889"/>
      <c r="K18" s="890"/>
      <c r="L18" s="132"/>
      <c r="S18" s="453">
        <v>250</v>
      </c>
      <c r="T18" s="454">
        <v>6</v>
      </c>
      <c r="U18" s="670">
        <f t="shared" si="1"/>
        <v>61.2</v>
      </c>
      <c r="V18" s="455">
        <f t="shared" ref="V18:AF18" si="4">AVERAGE(C32:C37)</f>
        <v>65</v>
      </c>
      <c r="W18" s="455">
        <f t="shared" si="4"/>
        <v>69.599999999999994</v>
      </c>
      <c r="X18" s="455">
        <f t="shared" si="4"/>
        <v>74.8</v>
      </c>
      <c r="Y18" s="455">
        <f t="shared" si="4"/>
        <v>80.599999999999994</v>
      </c>
      <c r="Z18" s="455">
        <f t="shared" si="4"/>
        <v>86.8</v>
      </c>
      <c r="AA18" s="455">
        <f t="shared" si="4"/>
        <v>93.6</v>
      </c>
      <c r="AB18" s="455">
        <f t="shared" si="4"/>
        <v>101</v>
      </c>
      <c r="AC18" s="455">
        <f t="shared" si="4"/>
        <v>109.4</v>
      </c>
      <c r="AD18" s="455">
        <f t="shared" si="4"/>
        <v>118.4</v>
      </c>
      <c r="AE18" s="455">
        <f t="shared" si="4"/>
        <v>129.19999999999999</v>
      </c>
      <c r="AF18" s="455">
        <f t="shared" si="4"/>
        <v>141.4</v>
      </c>
    </row>
    <row r="19" spans="1:32" x14ac:dyDescent="0.35">
      <c r="A19" s="132"/>
      <c r="B19" s="132"/>
      <c r="C19" s="132"/>
      <c r="D19" s="132"/>
      <c r="E19" s="132"/>
      <c r="F19" s="132"/>
      <c r="G19" s="132"/>
      <c r="H19" s="132"/>
      <c r="I19" s="132"/>
      <c r="J19" s="132"/>
      <c r="K19" s="132"/>
      <c r="L19" s="132"/>
      <c r="S19" s="453">
        <v>300</v>
      </c>
      <c r="T19" s="454">
        <v>7</v>
      </c>
      <c r="U19" s="670">
        <f t="shared" si="1"/>
        <v>63.9</v>
      </c>
      <c r="V19" s="455">
        <f t="shared" ref="V19:AF19" si="5">AVERAGE(C33:C37)</f>
        <v>68</v>
      </c>
      <c r="W19" s="455">
        <f t="shared" si="5"/>
        <v>72.75</v>
      </c>
      <c r="X19" s="455">
        <f t="shared" si="5"/>
        <v>78.25</v>
      </c>
      <c r="Y19" s="455">
        <f t="shared" si="5"/>
        <v>84.25</v>
      </c>
      <c r="Z19" s="455">
        <f t="shared" si="5"/>
        <v>90.75</v>
      </c>
      <c r="AA19" s="455">
        <f t="shared" si="5"/>
        <v>97.75</v>
      </c>
      <c r="AB19" s="455">
        <f t="shared" si="5"/>
        <v>105.5</v>
      </c>
      <c r="AC19" s="455">
        <f t="shared" si="5"/>
        <v>114.25</v>
      </c>
      <c r="AD19" s="455">
        <f t="shared" si="5"/>
        <v>123.75</v>
      </c>
      <c r="AE19" s="455">
        <f t="shared" si="5"/>
        <v>135</v>
      </c>
      <c r="AF19" s="455">
        <f t="shared" si="5"/>
        <v>147.5</v>
      </c>
    </row>
    <row r="20" spans="1:32" x14ac:dyDescent="0.35">
      <c r="A20" s="132"/>
      <c r="B20" s="132"/>
      <c r="C20" s="132"/>
      <c r="D20" s="132"/>
      <c r="E20" s="132"/>
      <c r="F20" s="132"/>
      <c r="G20" s="132"/>
      <c r="H20" s="132"/>
      <c r="I20" s="132"/>
      <c r="J20" s="132"/>
      <c r="K20" s="132"/>
      <c r="L20" s="132"/>
      <c r="S20" s="453">
        <v>350</v>
      </c>
      <c r="T20" s="454">
        <v>8</v>
      </c>
      <c r="U20" s="670">
        <f t="shared" si="1"/>
        <v>66.600000000000009</v>
      </c>
      <c r="V20" s="455">
        <f t="shared" ref="V20:AF20" si="6">AVERAGE(C34:C37)</f>
        <v>71</v>
      </c>
      <c r="W20" s="455">
        <f t="shared" si="6"/>
        <v>76</v>
      </c>
      <c r="X20" s="455">
        <f t="shared" si="6"/>
        <v>81.666666666666671</v>
      </c>
      <c r="Y20" s="455">
        <f t="shared" si="6"/>
        <v>88</v>
      </c>
      <c r="Z20" s="455">
        <f t="shared" si="6"/>
        <v>94.666666666666671</v>
      </c>
      <c r="AA20" s="455">
        <f t="shared" si="6"/>
        <v>102</v>
      </c>
      <c r="AB20" s="455">
        <f t="shared" si="6"/>
        <v>110</v>
      </c>
      <c r="AC20" s="455">
        <f t="shared" si="6"/>
        <v>119</v>
      </c>
      <c r="AD20" s="455">
        <f t="shared" si="6"/>
        <v>129</v>
      </c>
      <c r="AE20" s="455">
        <f t="shared" si="6"/>
        <v>140.66666666666666</v>
      </c>
      <c r="AF20" s="455">
        <f t="shared" si="6"/>
        <v>153.66666666666666</v>
      </c>
    </row>
    <row r="21" spans="1:32" x14ac:dyDescent="0.35">
      <c r="A21" s="132"/>
      <c r="B21" s="132"/>
      <c r="C21" s="132"/>
      <c r="D21" s="132"/>
      <c r="E21" s="132"/>
      <c r="F21" s="132"/>
      <c r="G21" s="132"/>
      <c r="H21" s="132"/>
      <c r="I21" s="132"/>
      <c r="J21" s="132"/>
      <c r="K21" s="132"/>
      <c r="L21" s="132"/>
      <c r="S21" s="453">
        <v>400</v>
      </c>
      <c r="T21" s="454">
        <v>9</v>
      </c>
      <c r="U21" s="670">
        <f>AVERAGE(C36:C43)*90%</f>
        <v>69.3</v>
      </c>
      <c r="V21" s="455">
        <f t="shared" ref="V21:AF21" si="7">AVERAGE(C35:C37)</f>
        <v>74</v>
      </c>
      <c r="W21" s="455">
        <f t="shared" si="7"/>
        <v>79</v>
      </c>
      <c r="X21" s="455">
        <f t="shared" si="7"/>
        <v>85</v>
      </c>
      <c r="Y21" s="455">
        <f t="shared" si="7"/>
        <v>91.5</v>
      </c>
      <c r="Z21" s="455">
        <f t="shared" si="7"/>
        <v>98.5</v>
      </c>
      <c r="AA21" s="455">
        <f t="shared" si="7"/>
        <v>106</v>
      </c>
      <c r="AB21" s="455">
        <f t="shared" si="7"/>
        <v>114.5</v>
      </c>
      <c r="AC21" s="455">
        <f t="shared" si="7"/>
        <v>123.5</v>
      </c>
      <c r="AD21" s="455">
        <f t="shared" si="7"/>
        <v>134</v>
      </c>
      <c r="AE21" s="455">
        <f t="shared" si="7"/>
        <v>146</v>
      </c>
      <c r="AF21" s="455">
        <f t="shared" si="7"/>
        <v>159.5</v>
      </c>
    </row>
    <row r="22" spans="1:32" x14ac:dyDescent="0.35">
      <c r="A22" s="132"/>
      <c r="B22" s="132"/>
      <c r="C22" s="132"/>
      <c r="D22" s="132"/>
      <c r="E22" s="132"/>
      <c r="F22" s="132"/>
      <c r="G22" s="132"/>
      <c r="H22" s="132"/>
      <c r="I22" s="132"/>
      <c r="J22" s="132"/>
      <c r="K22" s="132"/>
      <c r="L22" s="132"/>
      <c r="S22" s="453">
        <v>450</v>
      </c>
      <c r="T22" s="454">
        <v>10</v>
      </c>
      <c r="U22" s="670">
        <f>AVERAGE(C36:C43)*95%</f>
        <v>73.149999999999991</v>
      </c>
      <c r="V22" s="455">
        <f t="shared" ref="V22:AF22" si="8">AVERAGE(C36:C37)</f>
        <v>77</v>
      </c>
      <c r="W22" s="455">
        <f t="shared" si="8"/>
        <v>82</v>
      </c>
      <c r="X22" s="455">
        <f t="shared" si="8"/>
        <v>88</v>
      </c>
      <c r="Y22" s="455">
        <f t="shared" si="8"/>
        <v>95</v>
      </c>
      <c r="Z22" s="455">
        <f t="shared" si="8"/>
        <v>102</v>
      </c>
      <c r="AA22" s="455">
        <f t="shared" si="8"/>
        <v>110</v>
      </c>
      <c r="AB22" s="455">
        <f t="shared" si="8"/>
        <v>119</v>
      </c>
      <c r="AC22" s="455">
        <f t="shared" si="8"/>
        <v>128</v>
      </c>
      <c r="AD22" s="455">
        <f t="shared" si="8"/>
        <v>139</v>
      </c>
      <c r="AE22" s="455">
        <f t="shared" si="8"/>
        <v>151</v>
      </c>
      <c r="AF22" s="455">
        <f t="shared" si="8"/>
        <v>165</v>
      </c>
    </row>
    <row r="23" spans="1:32" x14ac:dyDescent="0.35">
      <c r="A23" s="132"/>
      <c r="B23" s="132"/>
      <c r="C23" s="132"/>
      <c r="D23" s="132"/>
      <c r="E23" s="132"/>
      <c r="F23" s="132"/>
      <c r="G23" s="132"/>
      <c r="H23" s="132"/>
      <c r="I23" s="132"/>
      <c r="J23" s="132"/>
      <c r="K23" s="132"/>
      <c r="L23" s="132"/>
    </row>
    <row r="24" spans="1:32" x14ac:dyDescent="0.35">
      <c r="A24" s="132"/>
      <c r="B24" s="132"/>
      <c r="C24" s="132"/>
      <c r="D24" s="132"/>
      <c r="E24" s="132"/>
      <c r="F24" s="132"/>
      <c r="G24" s="132"/>
      <c r="H24" s="132"/>
      <c r="I24" s="132"/>
      <c r="J24" s="132"/>
      <c r="K24" s="132"/>
      <c r="L24" s="132"/>
    </row>
    <row r="26" spans="1:32" x14ac:dyDescent="0.35">
      <c r="M26" s="438" t="s">
        <v>299</v>
      </c>
    </row>
    <row r="27" spans="1:32" ht="15" customHeight="1" x14ac:dyDescent="0.35">
      <c r="B27" s="898" t="s">
        <v>106</v>
      </c>
      <c r="C27" s="899"/>
      <c r="D27" s="899"/>
      <c r="E27" s="899"/>
      <c r="F27" s="899"/>
      <c r="G27" s="899"/>
      <c r="H27" s="899"/>
      <c r="I27" s="899"/>
      <c r="J27" s="899"/>
      <c r="K27" s="899"/>
      <c r="L27" s="899"/>
      <c r="M27" s="900"/>
    </row>
    <row r="28" spans="1:32" ht="23" x14ac:dyDescent="0.35">
      <c r="B28" s="464" t="s">
        <v>287</v>
      </c>
      <c r="C28" s="452">
        <v>500</v>
      </c>
      <c r="D28" s="452">
        <v>600</v>
      </c>
      <c r="E28" s="452">
        <v>700</v>
      </c>
      <c r="F28" s="452">
        <v>800</v>
      </c>
      <c r="G28" s="452">
        <v>900</v>
      </c>
      <c r="H28" s="452">
        <v>1000</v>
      </c>
      <c r="I28" s="452">
        <v>1100</v>
      </c>
      <c r="J28" s="452">
        <v>1200</v>
      </c>
      <c r="K28" s="452">
        <v>1300</v>
      </c>
      <c r="L28" s="452">
        <v>1400</v>
      </c>
      <c r="M28" s="452">
        <v>1500</v>
      </c>
    </row>
    <row r="29" spans="1:32" x14ac:dyDescent="0.35">
      <c r="B29" s="465" t="s">
        <v>313</v>
      </c>
      <c r="C29" s="452">
        <v>32</v>
      </c>
      <c r="D29" s="452">
        <v>34</v>
      </c>
      <c r="E29" s="452">
        <v>37</v>
      </c>
      <c r="F29" s="452">
        <v>40</v>
      </c>
      <c r="G29" s="452">
        <v>44</v>
      </c>
      <c r="H29" s="452">
        <v>48</v>
      </c>
      <c r="I29" s="452">
        <v>52</v>
      </c>
      <c r="J29" s="452">
        <v>57</v>
      </c>
      <c r="K29" s="452">
        <v>63</v>
      </c>
      <c r="L29" s="452"/>
      <c r="M29" s="452"/>
    </row>
    <row r="30" spans="1:32" x14ac:dyDescent="0.35">
      <c r="B30" s="465" t="s">
        <v>314</v>
      </c>
      <c r="C30" s="452">
        <v>39</v>
      </c>
      <c r="D30" s="452">
        <v>42</v>
      </c>
      <c r="E30" s="452">
        <v>46</v>
      </c>
      <c r="F30" s="452">
        <v>49</v>
      </c>
      <c r="G30" s="452">
        <v>53</v>
      </c>
      <c r="H30" s="452">
        <v>58</v>
      </c>
      <c r="I30" s="452">
        <v>63</v>
      </c>
      <c r="J30" s="452">
        <v>68</v>
      </c>
      <c r="K30" s="452">
        <v>75</v>
      </c>
      <c r="L30" s="452">
        <v>82</v>
      </c>
      <c r="M30" s="452"/>
    </row>
    <row r="31" spans="1:32" x14ac:dyDescent="0.35">
      <c r="B31" s="465" t="s">
        <v>315</v>
      </c>
      <c r="C31" s="452">
        <v>46</v>
      </c>
      <c r="D31" s="452">
        <v>50</v>
      </c>
      <c r="E31" s="452">
        <v>54</v>
      </c>
      <c r="F31" s="452">
        <v>58</v>
      </c>
      <c r="G31" s="452">
        <v>62</v>
      </c>
      <c r="H31" s="452">
        <v>67</v>
      </c>
      <c r="I31" s="452">
        <v>73</v>
      </c>
      <c r="J31" s="452">
        <v>79</v>
      </c>
      <c r="K31" s="452">
        <v>86</v>
      </c>
      <c r="L31" s="452">
        <v>94</v>
      </c>
      <c r="M31" s="452">
        <v>104</v>
      </c>
    </row>
    <row r="32" spans="1:32" x14ac:dyDescent="0.35">
      <c r="B32" s="465" t="s">
        <v>316</v>
      </c>
      <c r="C32" s="452">
        <v>53</v>
      </c>
      <c r="D32" s="452">
        <v>57</v>
      </c>
      <c r="E32" s="452">
        <v>61</v>
      </c>
      <c r="F32" s="452">
        <v>66</v>
      </c>
      <c r="G32" s="452">
        <v>71</v>
      </c>
      <c r="H32" s="452">
        <v>77</v>
      </c>
      <c r="I32" s="452">
        <v>83</v>
      </c>
      <c r="J32" s="452">
        <v>90</v>
      </c>
      <c r="K32" s="452">
        <v>97</v>
      </c>
      <c r="L32" s="452">
        <v>106</v>
      </c>
      <c r="M32" s="452">
        <v>117</v>
      </c>
    </row>
    <row r="33" spans="2:21" x14ac:dyDescent="0.35">
      <c r="B33" s="465" t="s">
        <v>317</v>
      </c>
      <c r="C33" s="452">
        <v>59</v>
      </c>
      <c r="D33" s="452">
        <v>63</v>
      </c>
      <c r="E33" s="452">
        <v>68</v>
      </c>
      <c r="F33" s="452">
        <v>73</v>
      </c>
      <c r="G33" s="452">
        <v>79</v>
      </c>
      <c r="H33" s="452">
        <v>85</v>
      </c>
      <c r="I33" s="452">
        <v>92</v>
      </c>
      <c r="J33" s="452">
        <v>100</v>
      </c>
      <c r="K33" s="452">
        <v>108</v>
      </c>
      <c r="L33" s="452">
        <v>118</v>
      </c>
      <c r="M33" s="452">
        <v>129</v>
      </c>
    </row>
    <row r="34" spans="2:21" x14ac:dyDescent="0.35">
      <c r="B34" s="465" t="s">
        <v>318</v>
      </c>
      <c r="C34" s="452">
        <v>65</v>
      </c>
      <c r="D34" s="452">
        <v>70</v>
      </c>
      <c r="E34" s="452">
        <v>75</v>
      </c>
      <c r="F34" s="452">
        <v>81</v>
      </c>
      <c r="G34" s="452">
        <v>87</v>
      </c>
      <c r="H34" s="452">
        <v>94</v>
      </c>
      <c r="I34" s="452">
        <v>101</v>
      </c>
      <c r="J34" s="452">
        <v>110</v>
      </c>
      <c r="K34" s="452">
        <v>119</v>
      </c>
      <c r="L34" s="452">
        <v>130</v>
      </c>
      <c r="M34" s="452">
        <v>142</v>
      </c>
    </row>
    <row r="35" spans="2:21" x14ac:dyDescent="0.35">
      <c r="B35" s="465" t="s">
        <v>319</v>
      </c>
      <c r="C35" s="452">
        <v>71</v>
      </c>
      <c r="D35" s="452">
        <v>76</v>
      </c>
      <c r="E35" s="452">
        <v>82</v>
      </c>
      <c r="F35" s="452">
        <v>88</v>
      </c>
      <c r="G35" s="452">
        <v>95</v>
      </c>
      <c r="H35" s="452">
        <v>102</v>
      </c>
      <c r="I35" s="452">
        <v>110</v>
      </c>
      <c r="J35" s="452">
        <v>119</v>
      </c>
      <c r="K35" s="452">
        <v>129</v>
      </c>
      <c r="L35" s="452">
        <v>141</v>
      </c>
      <c r="M35" s="452">
        <v>154</v>
      </c>
    </row>
    <row r="36" spans="2:21" x14ac:dyDescent="0.35">
      <c r="B36" s="465" t="s">
        <v>320</v>
      </c>
      <c r="C36" s="452">
        <v>77</v>
      </c>
      <c r="D36" s="452">
        <v>82</v>
      </c>
      <c r="E36" s="452">
        <v>88</v>
      </c>
      <c r="F36" s="452">
        <v>95</v>
      </c>
      <c r="G36" s="452">
        <v>102</v>
      </c>
      <c r="H36" s="452">
        <v>110</v>
      </c>
      <c r="I36" s="452">
        <v>119</v>
      </c>
      <c r="J36" s="452">
        <v>128</v>
      </c>
      <c r="K36" s="452">
        <v>139</v>
      </c>
      <c r="L36" s="452">
        <v>151</v>
      </c>
      <c r="M36" s="452">
        <v>165</v>
      </c>
    </row>
    <row r="38" spans="2:21" x14ac:dyDescent="0.35">
      <c r="P38" s="458"/>
      <c r="Q38" s="458"/>
      <c r="R38" s="458"/>
      <c r="S38" s="458"/>
      <c r="T38" s="459"/>
      <c r="U38" s="459"/>
    </row>
    <row r="39" spans="2:21" x14ac:dyDescent="0.35">
      <c r="P39" s="461"/>
      <c r="Q39" s="461"/>
      <c r="R39" s="461"/>
      <c r="S39" s="461"/>
      <c r="T39" s="459"/>
      <c r="U39" s="459"/>
    </row>
    <row r="40" spans="2:21" x14ac:dyDescent="0.35">
      <c r="P40" s="461"/>
      <c r="Q40" s="461"/>
      <c r="R40" s="461"/>
      <c r="S40" s="461"/>
      <c r="T40" s="459"/>
      <c r="U40" s="459"/>
    </row>
    <row r="41" spans="2:21" x14ac:dyDescent="0.35">
      <c r="P41" s="461"/>
      <c r="Q41" s="461"/>
      <c r="R41" s="461"/>
      <c r="S41" s="461"/>
      <c r="T41" s="459"/>
      <c r="U41" s="459"/>
    </row>
    <row r="42" spans="2:21" x14ac:dyDescent="0.35">
      <c r="P42" s="461"/>
      <c r="Q42" s="461"/>
      <c r="R42" s="461"/>
      <c r="S42" s="461"/>
      <c r="T42" s="459"/>
      <c r="U42" s="459"/>
    </row>
    <row r="43" spans="2:21" x14ac:dyDescent="0.35">
      <c r="P43" s="459"/>
      <c r="Q43" s="459"/>
      <c r="R43" s="459"/>
      <c r="S43" s="459"/>
      <c r="T43" s="459"/>
      <c r="U43" s="459"/>
    </row>
    <row r="46" spans="2:21" x14ac:dyDescent="0.35">
      <c r="C46" s="466"/>
    </row>
  </sheetData>
  <sheetProtection algorithmName="SHA-512" hashValue="7/lst7gtYklViiELFkStHNy+LZ7b2avxUy5r/KXY7B5DX293atG/HP62YIXG5WoSAaOc7o2Sq960/RZma/j8Aw==" saltValue="w4+jSXCQMiRAej6Xg+jQJw==" spinCount="100000" sheet="1" objects="1" scenarios="1"/>
  <mergeCells count="5">
    <mergeCell ref="I16:K16"/>
    <mergeCell ref="I17:K17"/>
    <mergeCell ref="I18:K18"/>
    <mergeCell ref="B27:M27"/>
    <mergeCell ref="N2:P2"/>
  </mergeCells>
  <hyperlinks>
    <hyperlink ref="M26" r:id="rId1" xr:uid="{00000000-0004-0000-1400-000000000000}"/>
    <hyperlink ref="I18:K18" r:id="rId2" display="Luke.fi/rehutaulukot" xr:uid="{00000000-0004-0000-1400-000001000000}"/>
    <hyperlink ref="I18" r:id="rId3" xr:uid="{00000000-0004-0000-1400-000002000000}"/>
    <hyperlink ref="N2" r:id="rId4" xr:uid="{00000000-0004-0000-1400-000003000000}"/>
    <hyperlink ref="N2:P2" r:id="rId5" display="Luke.fi/rehutaulukot" xr:uid="{00000000-0004-0000-1400-000004000000}"/>
  </hyperlinks>
  <pageMargins left="0.23622047244094491" right="0.23622047244094491" top="0.74803149606299213" bottom="1.1417322834645669" header="0.31496062992125984" footer="0.31496062992125984"/>
  <pageSetup paperSize="9" scale="90" orientation="portrait" r:id="rId6"/>
  <drawing r:id="rId7"/>
  <legacyDrawing r:id="rId8"/>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AJ51"/>
  <sheetViews>
    <sheetView workbookViewId="0">
      <pane ySplit="2" topLeftCell="A3" activePane="bottomLeft" state="frozen"/>
      <selection activeCell="E1" sqref="E1"/>
      <selection pane="bottomLeft" activeCell="D1" sqref="D1"/>
    </sheetView>
  </sheetViews>
  <sheetFormatPr defaultColWidth="12.453125" defaultRowHeight="15.5" x14ac:dyDescent="0.35"/>
  <cols>
    <col min="1" max="1" width="2.6328125" style="468" customWidth="1"/>
    <col min="2" max="11" width="8.6328125" style="447" customWidth="1"/>
    <col min="12" max="12" width="2.6328125" style="467" customWidth="1"/>
    <col min="13" max="13" width="20" style="467" customWidth="1"/>
    <col min="14" max="24" width="10.6328125" style="467" customWidth="1"/>
    <col min="25" max="16384" width="12.453125" style="467"/>
  </cols>
  <sheetData>
    <row r="1" spans="1:36" s="439" customFormat="1" ht="27" customHeight="1" x14ac:dyDescent="0.35">
      <c r="D1" s="440" t="s">
        <v>635</v>
      </c>
      <c r="N1" s="408" t="s">
        <v>693</v>
      </c>
    </row>
    <row r="2" spans="1:36" s="444" customFormat="1" ht="14.25" customHeight="1" x14ac:dyDescent="0.35">
      <c r="A2" s="442"/>
      <c r="B2" s="443"/>
      <c r="N2" s="897" t="s">
        <v>299</v>
      </c>
      <c r="O2" s="897"/>
      <c r="P2" s="897"/>
    </row>
    <row r="3" spans="1:36" ht="21" x14ac:dyDescent="0.5">
      <c r="B3" s="446" t="s">
        <v>40</v>
      </c>
      <c r="L3" s="474"/>
      <c r="M3" s="474"/>
      <c r="N3" s="474"/>
      <c r="O3" s="474"/>
      <c r="P3" s="474"/>
      <c r="Q3" s="474"/>
      <c r="R3" s="474"/>
      <c r="S3" s="474"/>
      <c r="T3" s="474"/>
      <c r="U3" s="474"/>
      <c r="V3" s="474"/>
      <c r="W3" s="474"/>
      <c r="X3" s="474"/>
      <c r="Y3" s="474"/>
      <c r="Z3" s="474"/>
      <c r="AA3" s="474"/>
      <c r="AB3" s="474"/>
      <c r="AC3" s="474"/>
      <c r="AD3" s="474"/>
      <c r="AE3" s="474"/>
      <c r="AF3" s="474"/>
      <c r="AG3" s="474"/>
      <c r="AH3" s="474"/>
      <c r="AI3" s="474"/>
      <c r="AJ3" s="474"/>
    </row>
    <row r="4" spans="1:36" ht="39" x14ac:dyDescent="0.35">
      <c r="B4" s="133"/>
      <c r="C4" s="133" t="s">
        <v>287</v>
      </c>
      <c r="E4" s="133" t="s">
        <v>638</v>
      </c>
      <c r="F4" s="133" t="s">
        <v>639</v>
      </c>
      <c r="J4" s="133" t="s">
        <v>289</v>
      </c>
      <c r="K4" s="133" t="s">
        <v>636</v>
      </c>
      <c r="L4" s="474"/>
      <c r="M4" s="474"/>
      <c r="N4" s="474"/>
      <c r="O4" s="474"/>
      <c r="P4" s="474"/>
      <c r="Q4" s="474"/>
      <c r="R4" s="474"/>
      <c r="S4" s="474"/>
      <c r="T4" s="474"/>
      <c r="U4" s="474"/>
      <c r="V4" s="474"/>
      <c r="W4" s="474"/>
      <c r="X4" s="474"/>
      <c r="Y4" s="474"/>
      <c r="Z4" s="474"/>
      <c r="AA4" s="474"/>
      <c r="AB4" s="474"/>
      <c r="AC4" s="474"/>
      <c r="AD4" s="474"/>
      <c r="AE4" s="474"/>
      <c r="AF4" s="474"/>
      <c r="AG4" s="474"/>
      <c r="AH4" s="474"/>
      <c r="AI4" s="474"/>
      <c r="AJ4" s="474"/>
    </row>
    <row r="5" spans="1:36" ht="16" thickBot="1" x14ac:dyDescent="0.4">
      <c r="B5" s="133"/>
      <c r="C5" s="167">
        <f>Energiantarve!F44</f>
        <v>1300</v>
      </c>
      <c r="E5" s="168">
        <f>HLOOKUP(C5,N16:X18,3)</f>
        <v>30.55</v>
      </c>
      <c r="F5" s="168">
        <f>HLOOKUP(C5,N16:X18,2)</f>
        <v>144.94662101842022</v>
      </c>
      <c r="J5" s="139">
        <v>365</v>
      </c>
      <c r="K5" s="167">
        <f>F5*J5</f>
        <v>52905.516671723381</v>
      </c>
      <c r="L5" s="474"/>
      <c r="M5" s="474"/>
      <c r="N5" s="474"/>
      <c r="O5" s="474"/>
      <c r="P5" s="474"/>
      <c r="Q5" s="474"/>
      <c r="R5" s="474"/>
      <c r="S5" s="474"/>
      <c r="T5" s="474"/>
      <c r="U5" s="474"/>
      <c r="V5" s="474"/>
      <c r="W5" s="474"/>
      <c r="X5" s="474"/>
      <c r="Y5" s="474"/>
      <c r="Z5" s="474"/>
      <c r="AA5" s="474"/>
      <c r="AB5" s="474"/>
      <c r="AC5" s="474"/>
      <c r="AD5" s="474"/>
      <c r="AE5" s="474"/>
      <c r="AF5" s="474"/>
      <c r="AG5" s="474"/>
      <c r="AH5" s="474"/>
      <c r="AI5" s="474"/>
      <c r="AJ5" s="474"/>
    </row>
    <row r="6" spans="1:36" x14ac:dyDescent="0.35">
      <c r="B6" s="140" t="s">
        <v>637</v>
      </c>
      <c r="C6" s="141"/>
      <c r="D6" s="142"/>
      <c r="E6" s="141" t="s">
        <v>291</v>
      </c>
      <c r="F6" s="142"/>
      <c r="G6" s="141"/>
      <c r="H6" s="141"/>
      <c r="I6" s="141"/>
      <c r="J6" s="141"/>
      <c r="K6" s="144"/>
      <c r="L6" s="474"/>
      <c r="M6" s="474"/>
      <c r="N6" s="474"/>
      <c r="O6" s="474"/>
      <c r="P6" s="474"/>
      <c r="Q6" s="474"/>
      <c r="R6" s="474"/>
      <c r="S6" s="474"/>
      <c r="T6" s="474"/>
      <c r="U6" s="474"/>
      <c r="V6" s="474"/>
      <c r="W6" s="474"/>
      <c r="X6" s="474"/>
      <c r="Y6" s="474"/>
      <c r="Z6" s="474"/>
      <c r="AA6" s="474"/>
      <c r="AB6" s="474"/>
      <c r="AC6" s="474"/>
      <c r="AD6" s="474"/>
      <c r="AE6" s="474"/>
      <c r="AF6" s="474"/>
      <c r="AG6" s="474"/>
      <c r="AH6" s="474"/>
      <c r="AI6" s="474"/>
      <c r="AJ6" s="474"/>
    </row>
    <row r="7" spans="1:36" x14ac:dyDescent="0.35">
      <c r="B7" s="145" t="s">
        <v>309</v>
      </c>
      <c r="C7" s="146"/>
      <c r="D7" s="132"/>
      <c r="E7" s="170">
        <f>K5</f>
        <v>52905.516671723381</v>
      </c>
      <c r="F7" s="148"/>
      <c r="G7" s="147"/>
      <c r="H7" s="146"/>
      <c r="I7" s="146"/>
      <c r="J7" s="146"/>
      <c r="K7" s="149"/>
      <c r="L7" s="474"/>
      <c r="M7" s="474"/>
      <c r="N7" s="474"/>
      <c r="O7" s="474"/>
      <c r="P7" s="474"/>
      <c r="Q7" s="474"/>
      <c r="R7" s="474"/>
      <c r="S7" s="474"/>
      <c r="T7" s="474"/>
      <c r="U7" s="474"/>
      <c r="V7" s="474"/>
      <c r="W7" s="474"/>
      <c r="X7" s="474"/>
      <c r="Y7" s="474"/>
      <c r="Z7" s="474"/>
      <c r="AA7" s="474"/>
      <c r="AB7" s="474"/>
      <c r="AC7" s="474"/>
      <c r="AD7" s="474"/>
      <c r="AE7" s="474"/>
      <c r="AF7" s="474"/>
      <c r="AG7" s="474"/>
      <c r="AH7" s="474"/>
      <c r="AI7" s="474"/>
      <c r="AJ7" s="474"/>
    </row>
    <row r="8" spans="1:36" x14ac:dyDescent="0.35">
      <c r="B8" s="145"/>
      <c r="C8" s="146"/>
      <c r="D8" s="146"/>
      <c r="E8" s="170"/>
      <c r="F8" s="153"/>
      <c r="G8" s="147"/>
      <c r="H8" s="146"/>
      <c r="I8" s="146"/>
      <c r="J8" s="146"/>
      <c r="K8" s="149"/>
      <c r="L8" s="474"/>
      <c r="M8" s="474"/>
      <c r="N8" s="474"/>
      <c r="O8" s="474"/>
      <c r="P8" s="474"/>
      <c r="Q8" s="474"/>
      <c r="R8" s="474"/>
      <c r="S8" s="474"/>
      <c r="T8" s="474"/>
      <c r="U8" s="474"/>
      <c r="V8" s="474"/>
      <c r="W8" s="474"/>
      <c r="X8" s="474"/>
      <c r="Y8" s="474"/>
      <c r="Z8" s="474"/>
      <c r="AA8" s="474"/>
      <c r="AB8" s="474"/>
      <c r="AC8" s="474"/>
      <c r="AD8" s="474"/>
      <c r="AE8" s="474"/>
      <c r="AF8" s="474"/>
      <c r="AG8" s="474"/>
      <c r="AH8" s="474"/>
      <c r="AI8" s="474"/>
      <c r="AJ8" s="474"/>
    </row>
    <row r="9" spans="1:36" ht="16" thickBot="1" x14ac:dyDescent="0.4">
      <c r="B9" s="154" t="s">
        <v>295</v>
      </c>
      <c r="C9" s="155"/>
      <c r="D9" s="155"/>
      <c r="E9" s="156">
        <f>SUM(E7:E8)</f>
        <v>52905.516671723381</v>
      </c>
      <c r="F9" s="157"/>
      <c r="G9" s="158"/>
      <c r="H9" s="155"/>
      <c r="I9" s="155"/>
      <c r="J9" s="155"/>
      <c r="K9" s="159"/>
      <c r="L9" s="474"/>
      <c r="M9" s="474"/>
      <c r="N9" s="474"/>
      <c r="O9" s="474"/>
      <c r="P9" s="474"/>
      <c r="Q9" s="474"/>
      <c r="R9" s="474"/>
      <c r="S9" s="474"/>
      <c r="T9" s="474"/>
      <c r="U9" s="474"/>
      <c r="V9" s="474"/>
      <c r="W9" s="474"/>
      <c r="X9" s="474"/>
      <c r="Y9" s="474"/>
      <c r="Z9" s="474"/>
      <c r="AA9" s="474"/>
      <c r="AB9" s="474"/>
      <c r="AC9" s="474"/>
      <c r="AD9" s="474"/>
      <c r="AE9" s="474"/>
      <c r="AF9" s="474"/>
      <c r="AG9" s="474"/>
      <c r="AH9" s="474"/>
      <c r="AI9" s="474"/>
      <c r="AJ9" s="474"/>
    </row>
    <row r="10" spans="1:36" x14ac:dyDescent="0.35">
      <c r="L10" s="474"/>
      <c r="M10" s="474"/>
      <c r="N10" s="474"/>
      <c r="O10" s="474"/>
      <c r="P10" s="474"/>
      <c r="Q10" s="474"/>
      <c r="R10" s="474"/>
      <c r="S10" s="474"/>
      <c r="T10" s="474"/>
      <c r="U10" s="474"/>
      <c r="V10" s="474"/>
      <c r="W10" s="474"/>
      <c r="X10" s="474"/>
      <c r="Y10" s="474"/>
      <c r="Z10" s="474"/>
      <c r="AA10" s="474"/>
      <c r="AB10" s="474"/>
      <c r="AC10" s="474"/>
      <c r="AD10" s="474"/>
      <c r="AE10" s="474"/>
      <c r="AF10" s="474"/>
      <c r="AG10" s="474"/>
      <c r="AH10" s="474"/>
      <c r="AI10" s="474"/>
      <c r="AJ10" s="474"/>
    </row>
    <row r="11" spans="1:36" s="468" customFormat="1" x14ac:dyDescent="0.35">
      <c r="B11" s="443"/>
      <c r="C11" s="444"/>
      <c r="D11" s="444"/>
      <c r="E11" s="444"/>
      <c r="F11" s="444"/>
      <c r="G11" s="444"/>
      <c r="H11" s="444"/>
      <c r="I11" s="444"/>
      <c r="J11" s="444"/>
      <c r="K11" s="444"/>
    </row>
    <row r="12" spans="1:36" ht="21" x14ac:dyDescent="0.5">
      <c r="B12" s="446" t="s">
        <v>296</v>
      </c>
      <c r="L12" s="474"/>
      <c r="M12" s="474"/>
      <c r="N12" s="132"/>
      <c r="O12" s="132"/>
      <c r="P12" s="132"/>
      <c r="Q12" s="132"/>
      <c r="R12" s="132"/>
      <c r="S12" s="132"/>
      <c r="T12" s="132"/>
      <c r="U12" s="132"/>
      <c r="V12" s="132"/>
      <c r="W12" s="474"/>
      <c r="X12" s="474"/>
      <c r="Y12" s="474"/>
      <c r="Z12" s="474"/>
      <c r="AA12" s="474"/>
      <c r="AB12" s="474"/>
      <c r="AC12" s="474"/>
      <c r="AD12" s="474"/>
      <c r="AE12" s="474"/>
      <c r="AF12" s="474"/>
      <c r="AG12" s="474"/>
      <c r="AH12" s="474"/>
      <c r="AI12" s="474"/>
      <c r="AJ12" s="474"/>
    </row>
    <row r="13" spans="1:36" ht="39" x14ac:dyDescent="0.35">
      <c r="B13" s="133"/>
      <c r="C13" s="133" t="s">
        <v>287</v>
      </c>
      <c r="E13" s="133" t="s">
        <v>638</v>
      </c>
      <c r="F13" s="133" t="s">
        <v>639</v>
      </c>
      <c r="J13" s="133" t="s">
        <v>289</v>
      </c>
      <c r="K13" s="133" t="s">
        <v>636</v>
      </c>
      <c r="L13" s="474"/>
      <c r="M13" s="474"/>
      <c r="N13" s="474"/>
      <c r="O13" s="474"/>
      <c r="P13" s="474"/>
      <c r="Q13" s="474"/>
      <c r="R13" s="474"/>
      <c r="S13" s="474"/>
      <c r="T13" s="474"/>
      <c r="U13" s="474"/>
      <c r="V13" s="474"/>
      <c r="W13" s="474"/>
      <c r="X13" s="474"/>
      <c r="Y13" s="474"/>
      <c r="Z13" s="474"/>
      <c r="AA13" s="474"/>
      <c r="AB13" s="474"/>
      <c r="AC13" s="474"/>
      <c r="AD13" s="474"/>
      <c r="AE13" s="474"/>
      <c r="AF13" s="474"/>
      <c r="AG13" s="474"/>
      <c r="AH13" s="474"/>
      <c r="AI13" s="474"/>
      <c r="AJ13" s="474"/>
    </row>
    <row r="14" spans="1:36" ht="16" thickBot="1" x14ac:dyDescent="0.4">
      <c r="B14" s="133"/>
      <c r="C14" s="167">
        <v>1300</v>
      </c>
      <c r="E14" s="168">
        <v>30.55</v>
      </c>
      <c r="F14" s="168">
        <v>144.94662101842022</v>
      </c>
      <c r="J14" s="167">
        <v>365</v>
      </c>
      <c r="K14" s="167">
        <v>52905.516671723381</v>
      </c>
      <c r="L14" s="474"/>
      <c r="M14" s="474"/>
      <c r="N14" s="474"/>
      <c r="O14" s="474"/>
      <c r="P14" s="474"/>
      <c r="Q14" s="474"/>
      <c r="R14" s="474"/>
      <c r="S14" s="474"/>
      <c r="T14" s="474"/>
      <c r="U14" s="474"/>
      <c r="V14" s="474"/>
      <c r="W14" s="474"/>
      <c r="X14" s="474"/>
      <c r="Y14" s="474"/>
      <c r="Z14" s="474"/>
      <c r="AA14" s="474"/>
      <c r="AB14" s="474"/>
      <c r="AC14" s="474"/>
      <c r="AD14" s="474"/>
      <c r="AE14" s="474"/>
      <c r="AF14" s="474"/>
      <c r="AG14" s="474"/>
      <c r="AH14" s="474"/>
      <c r="AI14" s="474"/>
      <c r="AJ14" s="474"/>
    </row>
    <row r="15" spans="1:36" x14ac:dyDescent="0.35">
      <c r="B15" s="140" t="s">
        <v>637</v>
      </c>
      <c r="C15" s="141"/>
      <c r="D15" s="142"/>
      <c r="E15" s="141" t="s">
        <v>291</v>
      </c>
      <c r="F15" s="142"/>
      <c r="G15" s="141"/>
      <c r="H15" s="141"/>
      <c r="I15" s="141"/>
      <c r="J15" s="141"/>
      <c r="K15" s="144"/>
      <c r="L15" s="474"/>
      <c r="M15" s="132" t="s">
        <v>632</v>
      </c>
      <c r="N15" s="132"/>
      <c r="O15" s="132"/>
      <c r="P15" s="132"/>
      <c r="Q15" s="132"/>
      <c r="R15" s="132"/>
      <c r="S15" s="132"/>
      <c r="T15" s="132"/>
      <c r="U15" s="132"/>
      <c r="V15" s="132"/>
      <c r="W15" s="474"/>
      <c r="X15" s="474"/>
      <c r="Y15" s="474"/>
      <c r="Z15" s="474"/>
      <c r="AA15" s="474"/>
      <c r="AB15" s="474"/>
      <c r="AC15" s="474"/>
      <c r="AD15" s="474"/>
      <c r="AE15" s="474"/>
      <c r="AF15" s="474"/>
      <c r="AG15" s="474"/>
      <c r="AH15" s="474"/>
      <c r="AI15" s="474"/>
      <c r="AJ15" s="474"/>
    </row>
    <row r="16" spans="1:36" x14ac:dyDescent="0.35">
      <c r="B16" s="145" t="s">
        <v>309</v>
      </c>
      <c r="C16" s="146"/>
      <c r="D16" s="132"/>
      <c r="E16" s="170">
        <f>K14</f>
        <v>52905.516671723381</v>
      </c>
      <c r="F16" s="148"/>
      <c r="G16" s="147"/>
      <c r="H16" s="146"/>
      <c r="I16" s="881" t="s">
        <v>640</v>
      </c>
      <c r="J16" s="881"/>
      <c r="K16" s="882"/>
      <c r="L16" s="474"/>
      <c r="M16" s="469" t="s">
        <v>287</v>
      </c>
      <c r="N16" s="471">
        <v>900</v>
      </c>
      <c r="O16" s="471">
        <v>950</v>
      </c>
      <c r="P16" s="471">
        <v>1000</v>
      </c>
      <c r="Q16" s="471">
        <v>1050</v>
      </c>
      <c r="R16" s="471">
        <v>1100</v>
      </c>
      <c r="S16" s="471">
        <v>1150</v>
      </c>
      <c r="T16" s="471">
        <v>1200</v>
      </c>
      <c r="U16" s="471">
        <v>1250</v>
      </c>
      <c r="V16" s="471">
        <v>1300</v>
      </c>
      <c r="W16" s="471">
        <v>1350</v>
      </c>
      <c r="X16" s="471">
        <v>1400</v>
      </c>
      <c r="Y16" s="474"/>
      <c r="Z16" s="474"/>
      <c r="AA16" s="474"/>
      <c r="AB16" s="474"/>
      <c r="AC16" s="474"/>
      <c r="AD16" s="474"/>
      <c r="AE16" s="474"/>
      <c r="AF16" s="474"/>
      <c r="AG16" s="474"/>
      <c r="AH16" s="474"/>
      <c r="AI16" s="474"/>
      <c r="AJ16" s="474"/>
    </row>
    <row r="17" spans="1:36" x14ac:dyDescent="0.35">
      <c r="B17" s="145"/>
      <c r="C17" s="146"/>
      <c r="D17" s="146"/>
      <c r="E17" s="170"/>
      <c r="F17" s="153"/>
      <c r="G17" s="147"/>
      <c r="H17" s="146"/>
      <c r="I17" s="881" t="s">
        <v>298</v>
      </c>
      <c r="J17" s="881"/>
      <c r="K17" s="882"/>
      <c r="L17" s="474"/>
      <c r="M17" s="470" t="s">
        <v>633</v>
      </c>
      <c r="N17" s="455">
        <f>N16^0.75*0.515*1.3</f>
        <v>110.0100756749126</v>
      </c>
      <c r="O17" s="455">
        <f t="shared" ref="O17:X17" si="0">O16^0.75*0.515*1.3</f>
        <v>114.56271182569766</v>
      </c>
      <c r="P17" s="455">
        <f t="shared" si="0"/>
        <v>119.05580650210585</v>
      </c>
      <c r="Q17" s="455">
        <f t="shared" si="0"/>
        <v>123.49306103186842</v>
      </c>
      <c r="R17" s="455">
        <f t="shared" si="0"/>
        <v>127.87778207456199</v>
      </c>
      <c r="S17" s="455">
        <f t="shared" si="0"/>
        <v>132.2129396751042</v>
      </c>
      <c r="T17" s="455">
        <f t="shared" si="0"/>
        <v>136.50121463101783</v>
      </c>
      <c r="U17" s="455">
        <f t="shared" si="0"/>
        <v>140.74503750309049</v>
      </c>
      <c r="V17" s="455">
        <f t="shared" si="0"/>
        <v>144.94662101842022</v>
      </c>
      <c r="W17" s="455">
        <f t="shared" si="0"/>
        <v>149.1079871956826</v>
      </c>
      <c r="X17" s="455">
        <f t="shared" si="0"/>
        <v>153.2309902155319</v>
      </c>
      <c r="Y17" s="474"/>
      <c r="Z17" s="474"/>
      <c r="AA17" s="474"/>
      <c r="AB17" s="474"/>
      <c r="AC17" s="474"/>
      <c r="AD17" s="474"/>
      <c r="AE17" s="474"/>
      <c r="AF17" s="474"/>
      <c r="AG17" s="474"/>
      <c r="AH17" s="474"/>
      <c r="AI17" s="474"/>
      <c r="AJ17" s="474"/>
    </row>
    <row r="18" spans="1:36" ht="16" thickBot="1" x14ac:dyDescent="0.4">
      <c r="B18" s="154" t="s">
        <v>295</v>
      </c>
      <c r="C18" s="155"/>
      <c r="D18" s="155"/>
      <c r="E18" s="156">
        <f>SUM(E16:E17)</f>
        <v>52905.516671723381</v>
      </c>
      <c r="F18" s="157"/>
      <c r="G18" s="158"/>
      <c r="H18" s="155"/>
      <c r="I18" s="887"/>
      <c r="J18" s="887"/>
      <c r="K18" s="888"/>
      <c r="L18" s="474"/>
      <c r="M18" s="470" t="s">
        <v>634</v>
      </c>
      <c r="N18" s="472">
        <f>N16*0.024</f>
        <v>21.6</v>
      </c>
      <c r="O18" s="472">
        <f>O16*0.024</f>
        <v>22.8</v>
      </c>
      <c r="P18" s="472">
        <f>P16*0.024</f>
        <v>24</v>
      </c>
      <c r="Q18" s="472">
        <f>Q16*0.024</f>
        <v>25.2</v>
      </c>
      <c r="R18" s="472">
        <f>R16*0.024</f>
        <v>26.400000000000002</v>
      </c>
      <c r="S18" s="472">
        <f t="shared" ref="S18:X18" si="1">S16*0.0235</f>
        <v>27.024999999999999</v>
      </c>
      <c r="T18" s="472">
        <f t="shared" si="1"/>
        <v>28.2</v>
      </c>
      <c r="U18" s="472">
        <f t="shared" si="1"/>
        <v>29.375</v>
      </c>
      <c r="V18" s="472">
        <f t="shared" si="1"/>
        <v>30.55</v>
      </c>
      <c r="W18" s="472">
        <f t="shared" si="1"/>
        <v>31.725000000000001</v>
      </c>
      <c r="X18" s="472">
        <f t="shared" si="1"/>
        <v>32.9</v>
      </c>
      <c r="Y18" s="474"/>
      <c r="Z18" s="474"/>
      <c r="AA18" s="474"/>
      <c r="AB18" s="474"/>
      <c r="AC18" s="474"/>
      <c r="AD18" s="474"/>
      <c r="AE18" s="474"/>
      <c r="AF18" s="474"/>
      <c r="AG18" s="474"/>
      <c r="AH18" s="474"/>
      <c r="AI18" s="474"/>
      <c r="AJ18" s="474"/>
    </row>
    <row r="19" spans="1:36" s="474" customFormat="1" x14ac:dyDescent="0.35">
      <c r="A19" s="468"/>
      <c r="B19" s="132"/>
      <c r="C19" s="132"/>
      <c r="D19" s="132"/>
      <c r="E19" s="132"/>
      <c r="F19" s="132"/>
      <c r="G19" s="132"/>
      <c r="H19" s="132"/>
      <c r="I19" s="132"/>
      <c r="J19" s="132"/>
      <c r="K19" s="132"/>
    </row>
    <row r="20" spans="1:36" s="474" customFormat="1" x14ac:dyDescent="0.35">
      <c r="A20" s="468"/>
      <c r="B20" s="132"/>
      <c r="C20" s="132"/>
      <c r="D20" s="132"/>
      <c r="E20" s="132"/>
      <c r="F20" s="132"/>
      <c r="G20" s="132"/>
      <c r="H20" s="132"/>
      <c r="I20" s="132"/>
      <c r="J20" s="132"/>
      <c r="K20" s="132"/>
      <c r="M20" s="132" t="s">
        <v>642</v>
      </c>
      <c r="N20" s="132"/>
      <c r="O20" s="132"/>
      <c r="P20" s="132"/>
      <c r="Q20" s="132"/>
      <c r="R20" s="132"/>
      <c r="S20" s="132"/>
      <c r="T20" s="132"/>
      <c r="U20" s="132"/>
      <c r="V20" s="132"/>
    </row>
    <row r="21" spans="1:36" s="474" customFormat="1" x14ac:dyDescent="0.35">
      <c r="A21" s="468"/>
      <c r="B21" s="132"/>
      <c r="C21" s="132"/>
      <c r="D21" s="132"/>
      <c r="E21" s="132"/>
      <c r="F21" s="132"/>
      <c r="G21" s="132"/>
      <c r="H21" s="132"/>
      <c r="I21" s="132"/>
      <c r="J21" s="132"/>
      <c r="K21" s="132"/>
      <c r="M21" s="469" t="s">
        <v>287</v>
      </c>
      <c r="N21" s="471">
        <v>750</v>
      </c>
      <c r="O21" s="471">
        <v>800</v>
      </c>
      <c r="P21" s="471">
        <v>850</v>
      </c>
      <c r="Q21" s="471">
        <v>900</v>
      </c>
      <c r="R21" s="471">
        <v>950</v>
      </c>
      <c r="S21" s="471">
        <v>1000</v>
      </c>
      <c r="T21" s="471">
        <v>1050</v>
      </c>
      <c r="U21" s="471">
        <v>1100</v>
      </c>
      <c r="V21" s="471">
        <v>1150</v>
      </c>
    </row>
    <row r="22" spans="1:36" s="474" customFormat="1" x14ac:dyDescent="0.35">
      <c r="A22" s="468"/>
      <c r="M22" s="470" t="s">
        <v>633</v>
      </c>
      <c r="N22" s="455">
        <f>N21^0.75*0.515+35</f>
        <v>108.80795569778732</v>
      </c>
      <c r="O22" s="455">
        <f t="shared" ref="O22:V22" si="2">O21^0.75*0.515+35</f>
        <v>112.46842371757968</v>
      </c>
      <c r="P22" s="455">
        <f t="shared" si="2"/>
        <v>116.07210012895294</v>
      </c>
      <c r="Q22" s="455">
        <f t="shared" si="2"/>
        <v>119.62313513454815</v>
      </c>
      <c r="R22" s="455">
        <f t="shared" si="2"/>
        <v>123.12516294284436</v>
      </c>
      <c r="S22" s="455">
        <f t="shared" si="2"/>
        <v>126.5813896170045</v>
      </c>
      <c r="T22" s="455">
        <f t="shared" si="2"/>
        <v>129.99466233220647</v>
      </c>
      <c r="U22" s="455">
        <f t="shared" si="2"/>
        <v>133.36752467273999</v>
      </c>
      <c r="V22" s="455">
        <f t="shared" si="2"/>
        <v>136.70226128854168</v>
      </c>
    </row>
    <row r="23" spans="1:36" s="474" customFormat="1" x14ac:dyDescent="0.35">
      <c r="A23" s="468"/>
      <c r="M23" s="470" t="s">
        <v>634</v>
      </c>
      <c r="N23" s="472">
        <f>N21*0.024</f>
        <v>18</v>
      </c>
      <c r="O23" s="472">
        <f t="shared" ref="O23:V23" si="3">O21*0.024</f>
        <v>19.2</v>
      </c>
      <c r="P23" s="472">
        <f t="shared" si="3"/>
        <v>20.400000000000002</v>
      </c>
      <c r="Q23" s="472">
        <f t="shared" si="3"/>
        <v>21.6</v>
      </c>
      <c r="R23" s="472">
        <f t="shared" si="3"/>
        <v>22.8</v>
      </c>
      <c r="S23" s="472">
        <f t="shared" si="3"/>
        <v>24</v>
      </c>
      <c r="T23" s="472">
        <f t="shared" si="3"/>
        <v>25.2</v>
      </c>
      <c r="U23" s="472">
        <f t="shared" si="3"/>
        <v>26.400000000000002</v>
      </c>
      <c r="V23" s="472">
        <f t="shared" si="3"/>
        <v>27.6</v>
      </c>
    </row>
    <row r="24" spans="1:36" s="474" customFormat="1" x14ac:dyDescent="0.35">
      <c r="A24" s="468"/>
      <c r="M24" s="12"/>
      <c r="N24" s="12"/>
      <c r="O24" s="12"/>
      <c r="P24" s="12"/>
      <c r="Q24" s="12"/>
      <c r="R24" s="12"/>
      <c r="S24" s="12"/>
      <c r="T24" s="12"/>
      <c r="U24" s="12"/>
      <c r="V24" s="12"/>
    </row>
    <row r="25" spans="1:36" s="474" customFormat="1" x14ac:dyDescent="0.35">
      <c r="A25" s="468"/>
      <c r="M25" s="132" t="s">
        <v>641</v>
      </c>
      <c r="N25" s="132"/>
      <c r="O25" s="132"/>
      <c r="P25" s="132"/>
      <c r="Q25" s="132"/>
      <c r="R25" s="132"/>
      <c r="S25" s="132"/>
      <c r="T25" s="132"/>
      <c r="U25" s="132"/>
      <c r="V25" s="132"/>
    </row>
    <row r="26" spans="1:36" s="474" customFormat="1" x14ac:dyDescent="0.35">
      <c r="A26" s="468"/>
      <c r="M26" s="469" t="s">
        <v>287</v>
      </c>
      <c r="N26" s="471">
        <v>750</v>
      </c>
      <c r="O26" s="471">
        <v>800</v>
      </c>
      <c r="P26" s="471">
        <v>850</v>
      </c>
      <c r="Q26" s="471">
        <v>900</v>
      </c>
      <c r="R26" s="471">
        <v>950</v>
      </c>
      <c r="S26" s="471">
        <v>1000</v>
      </c>
      <c r="T26" s="471">
        <v>1050</v>
      </c>
      <c r="U26" s="471">
        <v>1100</v>
      </c>
      <c r="V26" s="471">
        <v>1150</v>
      </c>
    </row>
    <row r="27" spans="1:36" s="474" customFormat="1" x14ac:dyDescent="0.35">
      <c r="A27" s="468"/>
      <c r="M27" s="470" t="s">
        <v>633</v>
      </c>
      <c r="N27" s="455">
        <f>N26^0.75*0.515+35+39.9</f>
        <v>148.70795569778733</v>
      </c>
      <c r="O27" s="455">
        <f t="shared" ref="O27:V27" si="4">O26^0.75*0.515+35+39.9</f>
        <v>152.36842371757967</v>
      </c>
      <c r="P27" s="455">
        <f t="shared" si="4"/>
        <v>155.97210012895295</v>
      </c>
      <c r="Q27" s="455">
        <f t="shared" si="4"/>
        <v>159.52313513454814</v>
      </c>
      <c r="R27" s="455">
        <f t="shared" si="4"/>
        <v>163.02516294284436</v>
      </c>
      <c r="S27" s="455">
        <f t="shared" si="4"/>
        <v>166.48138961700451</v>
      </c>
      <c r="T27" s="455">
        <f t="shared" si="4"/>
        <v>169.89466233220648</v>
      </c>
      <c r="U27" s="455">
        <f t="shared" si="4"/>
        <v>173.26752467274</v>
      </c>
      <c r="V27" s="455">
        <f t="shared" si="4"/>
        <v>176.60226128854168</v>
      </c>
    </row>
    <row r="28" spans="1:36" s="474" customFormat="1" x14ac:dyDescent="0.35">
      <c r="A28" s="468"/>
      <c r="M28" s="470" t="s">
        <v>634</v>
      </c>
      <c r="N28" s="472">
        <f>N26*0.024</f>
        <v>18</v>
      </c>
      <c r="O28" s="472">
        <f t="shared" ref="O28:V28" si="5">O26*0.024</f>
        <v>19.2</v>
      </c>
      <c r="P28" s="472">
        <f t="shared" si="5"/>
        <v>20.400000000000002</v>
      </c>
      <c r="Q28" s="472">
        <f t="shared" si="5"/>
        <v>21.6</v>
      </c>
      <c r="R28" s="472">
        <f t="shared" si="5"/>
        <v>22.8</v>
      </c>
      <c r="S28" s="472">
        <f t="shared" si="5"/>
        <v>24</v>
      </c>
      <c r="T28" s="472">
        <f t="shared" si="5"/>
        <v>25.2</v>
      </c>
      <c r="U28" s="472">
        <f t="shared" si="5"/>
        <v>26.400000000000002</v>
      </c>
      <c r="V28" s="472">
        <f t="shared" si="5"/>
        <v>27.6</v>
      </c>
    </row>
    <row r="29" spans="1:36" s="474" customFormat="1" x14ac:dyDescent="0.35">
      <c r="A29" s="468"/>
    </row>
    <row r="30" spans="1:36" s="474" customFormat="1" x14ac:dyDescent="0.35">
      <c r="A30" s="468"/>
      <c r="T30" s="457"/>
      <c r="U30" s="458"/>
      <c r="V30" s="458"/>
      <c r="W30" s="458"/>
      <c r="X30" s="459"/>
    </row>
    <row r="31" spans="1:36" s="474" customFormat="1" x14ac:dyDescent="0.35">
      <c r="A31" s="468"/>
      <c r="T31" s="460"/>
      <c r="U31" s="461"/>
      <c r="V31" s="461"/>
      <c r="W31" s="461"/>
      <c r="X31" s="459"/>
    </row>
    <row r="32" spans="1:36" s="474" customFormat="1" x14ac:dyDescent="0.35">
      <c r="A32" s="468"/>
      <c r="T32" s="460"/>
      <c r="U32" s="461"/>
      <c r="V32" s="461"/>
      <c r="W32" s="461"/>
      <c r="X32" s="459"/>
    </row>
    <row r="33" spans="1:24" s="474" customFormat="1" x14ac:dyDescent="0.35">
      <c r="A33" s="468"/>
      <c r="T33" s="460"/>
      <c r="U33" s="461"/>
      <c r="V33" s="461"/>
      <c r="W33" s="461"/>
      <c r="X33" s="459"/>
    </row>
    <row r="34" spans="1:24" s="474" customFormat="1" x14ac:dyDescent="0.35">
      <c r="A34" s="468"/>
      <c r="T34" s="460"/>
      <c r="U34" s="461"/>
      <c r="V34" s="461"/>
      <c r="W34" s="461"/>
      <c r="X34" s="459"/>
    </row>
    <row r="35" spans="1:24" s="474" customFormat="1" x14ac:dyDescent="0.35">
      <c r="A35" s="468"/>
      <c r="T35" s="462"/>
      <c r="U35" s="459"/>
      <c r="V35" s="459"/>
      <c r="W35" s="459"/>
      <c r="X35" s="459"/>
    </row>
    <row r="36" spans="1:24" s="474" customFormat="1" x14ac:dyDescent="0.35">
      <c r="A36" s="468"/>
    </row>
    <row r="37" spans="1:24" s="474" customFormat="1" x14ac:dyDescent="0.35">
      <c r="A37" s="468"/>
    </row>
    <row r="38" spans="1:24" s="474" customFormat="1" x14ac:dyDescent="0.35">
      <c r="A38" s="468"/>
    </row>
    <row r="39" spans="1:24" s="474" customFormat="1" x14ac:dyDescent="0.35">
      <c r="A39" s="468"/>
    </row>
    <row r="40" spans="1:24" s="474" customFormat="1" x14ac:dyDescent="0.35">
      <c r="A40" s="468"/>
    </row>
    <row r="41" spans="1:24" s="474" customFormat="1" x14ac:dyDescent="0.35">
      <c r="A41" s="468"/>
    </row>
    <row r="42" spans="1:24" s="474" customFormat="1" x14ac:dyDescent="0.35">
      <c r="A42" s="468"/>
    </row>
    <row r="43" spans="1:24" s="474" customFormat="1" x14ac:dyDescent="0.35">
      <c r="A43" s="468"/>
    </row>
    <row r="44" spans="1:24" s="474" customFormat="1" x14ac:dyDescent="0.35">
      <c r="A44" s="468"/>
    </row>
    <row r="45" spans="1:24" s="474" customFormat="1" x14ac:dyDescent="0.35">
      <c r="A45" s="468"/>
      <c r="B45" s="447"/>
      <c r="C45" s="447"/>
      <c r="D45" s="447"/>
      <c r="E45" s="447"/>
      <c r="F45" s="447"/>
      <c r="G45" s="447"/>
      <c r="H45" s="447"/>
      <c r="I45" s="447"/>
      <c r="J45" s="447"/>
      <c r="K45" s="447"/>
    </row>
    <row r="46" spans="1:24" s="474" customFormat="1" x14ac:dyDescent="0.35">
      <c r="A46" s="468"/>
      <c r="B46" s="447"/>
      <c r="C46" s="447"/>
      <c r="D46" s="447"/>
      <c r="E46" s="447"/>
      <c r="F46" s="447"/>
      <c r="G46" s="447"/>
      <c r="H46" s="447"/>
      <c r="I46" s="447"/>
      <c r="J46" s="447"/>
      <c r="K46" s="447"/>
    </row>
    <row r="47" spans="1:24" s="474" customFormat="1" x14ac:dyDescent="0.35">
      <c r="A47" s="468"/>
      <c r="B47" s="447"/>
      <c r="C47" s="447"/>
      <c r="D47" s="447"/>
      <c r="E47" s="447"/>
      <c r="F47" s="447"/>
      <c r="G47" s="447"/>
      <c r="H47" s="447"/>
      <c r="I47" s="447"/>
      <c r="J47" s="447"/>
      <c r="K47" s="447"/>
    </row>
    <row r="48" spans="1:24" s="474" customFormat="1" x14ac:dyDescent="0.35">
      <c r="A48" s="468"/>
      <c r="B48" s="447"/>
      <c r="C48" s="447"/>
      <c r="D48" s="447"/>
      <c r="E48" s="447"/>
      <c r="F48" s="447"/>
      <c r="G48" s="447"/>
      <c r="H48" s="447"/>
      <c r="I48" s="447"/>
      <c r="J48" s="447"/>
      <c r="K48" s="447"/>
    </row>
    <row r="49" spans="1:11" s="474" customFormat="1" x14ac:dyDescent="0.35">
      <c r="A49" s="468"/>
      <c r="B49" s="447"/>
      <c r="C49" s="447"/>
      <c r="D49" s="447"/>
      <c r="E49" s="447"/>
      <c r="F49" s="447"/>
      <c r="G49" s="447"/>
      <c r="H49" s="447"/>
      <c r="I49" s="447"/>
      <c r="J49" s="447"/>
      <c r="K49" s="447"/>
    </row>
    <row r="50" spans="1:11" s="474" customFormat="1" x14ac:dyDescent="0.35">
      <c r="A50" s="468"/>
      <c r="B50" s="447"/>
      <c r="C50" s="447"/>
      <c r="D50" s="447"/>
      <c r="E50" s="447"/>
      <c r="F50" s="447"/>
      <c r="G50" s="447"/>
      <c r="H50" s="447"/>
      <c r="I50" s="447"/>
      <c r="J50" s="447"/>
      <c r="K50" s="447"/>
    </row>
    <row r="51" spans="1:11" s="474" customFormat="1" x14ac:dyDescent="0.35">
      <c r="A51" s="468"/>
      <c r="B51" s="447"/>
      <c r="C51" s="447"/>
      <c r="D51" s="447"/>
      <c r="E51" s="447"/>
      <c r="F51" s="447"/>
      <c r="G51" s="447"/>
      <c r="H51" s="447"/>
      <c r="I51" s="447"/>
      <c r="J51" s="447"/>
      <c r="K51" s="447"/>
    </row>
  </sheetData>
  <sheetProtection password="CD8A" sheet="1" objects="1" scenarios="1"/>
  <mergeCells count="4">
    <mergeCell ref="I16:K16"/>
    <mergeCell ref="I17:K17"/>
    <mergeCell ref="I18:K18"/>
    <mergeCell ref="N2:P2"/>
  </mergeCells>
  <hyperlinks>
    <hyperlink ref="N2" r:id="rId1" xr:uid="{00000000-0004-0000-1500-000000000000}"/>
    <hyperlink ref="N2:P2" r:id="rId2" display="Luke.fi/rehutaulukot" xr:uid="{00000000-0004-0000-1500-000001000000}"/>
  </hyperlinks>
  <pageMargins left="0.7" right="0.7" top="0.75" bottom="0.75" header="0.3" footer="0.3"/>
  <drawing r:id="rId3"/>
  <legacyDrawing r:id="rId4"/>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
  <sheetViews>
    <sheetView zoomScale="85" zoomScaleNormal="85" workbookViewId="0"/>
  </sheetViews>
  <sheetFormatPr defaultColWidth="8.81640625" defaultRowHeight="14.5" x14ac:dyDescent="0.3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B4F40D"/>
  </sheetPr>
  <dimension ref="A1:AZ158"/>
  <sheetViews>
    <sheetView topLeftCell="E1" zoomScale="85" zoomScaleNormal="85" workbookViewId="0">
      <pane ySplit="1" topLeftCell="A55" activePane="bottomLeft" state="frozen"/>
      <selection activeCell="E1" sqref="E1"/>
      <selection pane="bottomLeft" activeCell="K33" sqref="K33"/>
    </sheetView>
  </sheetViews>
  <sheetFormatPr defaultColWidth="9.1796875" defaultRowHeight="14.5" x14ac:dyDescent="0.35"/>
  <cols>
    <col min="1" max="1" width="2.6328125" style="49" customWidth="1"/>
    <col min="2" max="2" width="32.6328125" style="44" customWidth="1"/>
    <col min="3" max="3" width="9.1796875" style="44"/>
    <col min="4" max="4" width="2.6328125" style="44" customWidth="1"/>
    <col min="5" max="6" width="12.6328125" style="44" customWidth="1"/>
    <col min="7" max="7" width="9.1796875" style="44" customWidth="1"/>
    <col min="8" max="8" width="9.1796875" style="44"/>
    <col min="9" max="9" width="2.6328125" style="44" customWidth="1"/>
    <col min="10" max="10" width="16.6328125" style="44" customWidth="1"/>
    <col min="11" max="12" width="9.1796875" style="44" customWidth="1"/>
    <col min="13" max="13" width="9.453125" style="44" bestFit="1" customWidth="1"/>
    <col min="14" max="14" width="2.6328125" style="44" customWidth="1"/>
    <col min="15" max="15" width="24.6328125" style="44" customWidth="1"/>
    <col min="16" max="17" width="9.1796875" style="44" customWidth="1"/>
    <col min="18" max="18" width="2.6328125" style="44" customWidth="1"/>
    <col min="19" max="21" width="9.1796875" style="44"/>
    <col min="22" max="22" width="9.81640625" style="44" bestFit="1" customWidth="1"/>
    <col min="23" max="26" width="9.1796875" style="44"/>
    <col min="27" max="27" width="9.1796875" style="658" customWidth="1"/>
    <col min="28" max="28" width="9.1796875" style="661"/>
    <col min="29" max="35" width="9.1796875" style="212"/>
    <col min="36" max="52" width="9.1796875" style="213"/>
    <col min="53" max="16384" width="9.1796875" style="44"/>
  </cols>
  <sheetData>
    <row r="1" spans="1:52" s="410" customFormat="1" ht="27" customHeight="1" x14ac:dyDescent="0.35">
      <c r="A1" s="408"/>
      <c r="B1" s="408"/>
      <c r="C1" s="409" t="s">
        <v>234</v>
      </c>
      <c r="D1" s="408"/>
      <c r="E1" s="408"/>
      <c r="F1" s="408"/>
      <c r="G1" s="408"/>
      <c r="H1" s="408" t="str">
        <f>CONCATENATE(Etusivu!$F$10,," ",Etusivu!$G$10,", ",Etusivu!$F$7," ",Etusivu!$G$7)</f>
        <v>Laskelman laatija: Lappari-elinkeino -hanke, Laskelmavuosi: 2021</v>
      </c>
      <c r="I1" s="408"/>
      <c r="J1" s="408"/>
      <c r="K1" s="408"/>
      <c r="L1" s="408"/>
      <c r="M1" s="408"/>
      <c r="N1" s="408"/>
      <c r="O1" s="408"/>
      <c r="P1" s="408"/>
      <c r="Q1" s="411"/>
      <c r="R1" s="411"/>
      <c r="S1" s="411"/>
      <c r="T1" s="411"/>
      <c r="U1" s="411"/>
      <c r="V1" s="411"/>
      <c r="W1" s="411"/>
      <c r="X1" s="411"/>
      <c r="Y1" s="411"/>
      <c r="Z1" s="408"/>
      <c r="AA1" s="656"/>
      <c r="AB1" s="659"/>
      <c r="AC1" s="659"/>
      <c r="AD1" s="659"/>
      <c r="AE1" s="659"/>
      <c r="AF1" s="659"/>
      <c r="AG1" s="659"/>
      <c r="AH1" s="659"/>
      <c r="AI1" s="659"/>
      <c r="AJ1" s="656"/>
      <c r="AK1" s="656"/>
      <c r="AL1" s="656"/>
      <c r="AM1" s="656"/>
      <c r="AN1" s="656"/>
      <c r="AO1" s="656"/>
      <c r="AP1" s="656"/>
      <c r="AQ1" s="656"/>
      <c r="AR1" s="656"/>
      <c r="AS1" s="656"/>
      <c r="AT1" s="656"/>
      <c r="AU1" s="656"/>
      <c r="AV1" s="656"/>
      <c r="AW1" s="656"/>
      <c r="AX1" s="656"/>
      <c r="AY1" s="656"/>
      <c r="AZ1" s="656"/>
    </row>
    <row r="2" spans="1:52" s="2" customFormat="1" ht="14.25" customHeight="1" x14ac:dyDescent="0.35">
      <c r="A2" s="3"/>
      <c r="B2" s="4"/>
      <c r="C2" s="1"/>
      <c r="D2" s="1"/>
      <c r="E2" s="1"/>
      <c r="F2" s="1"/>
      <c r="G2" s="1"/>
      <c r="H2" s="1"/>
      <c r="I2" s="1"/>
      <c r="J2" s="1"/>
      <c r="K2" s="1"/>
      <c r="L2" s="1"/>
      <c r="M2" s="1"/>
      <c r="N2" s="1"/>
      <c r="O2" s="1"/>
      <c r="P2" s="1"/>
      <c r="Q2" s="1"/>
      <c r="R2" s="1"/>
      <c r="S2" s="1"/>
      <c r="T2" s="1"/>
      <c r="U2" s="1"/>
      <c r="V2" s="1"/>
      <c r="W2" s="1"/>
      <c r="X2" s="1"/>
      <c r="Y2" s="1"/>
      <c r="Z2" s="3"/>
      <c r="AA2" s="657"/>
      <c r="AB2" s="660"/>
      <c r="AC2" s="660"/>
      <c r="AD2" s="660"/>
      <c r="AE2" s="660"/>
      <c r="AF2" s="660"/>
      <c r="AG2" s="660"/>
      <c r="AH2" s="660"/>
      <c r="AI2" s="660"/>
      <c r="AJ2" s="657"/>
      <c r="AK2" s="657"/>
      <c r="AL2" s="657"/>
      <c r="AM2" s="657"/>
      <c r="AN2" s="657"/>
      <c r="AO2" s="657"/>
      <c r="AP2" s="657"/>
      <c r="AQ2" s="657"/>
      <c r="AR2" s="657"/>
      <c r="AS2" s="657"/>
      <c r="AT2" s="657"/>
      <c r="AU2" s="657"/>
      <c r="AV2" s="657"/>
      <c r="AW2" s="657"/>
      <c r="AX2" s="657"/>
      <c r="AY2" s="657"/>
      <c r="AZ2" s="657"/>
    </row>
    <row r="3" spans="1:52" s="2" customFormat="1" ht="14.25" customHeight="1" x14ac:dyDescent="0.35">
      <c r="A3" s="3"/>
      <c r="B3" s="4"/>
      <c r="C3" s="1"/>
      <c r="D3" s="1"/>
      <c r="E3" s="1"/>
      <c r="F3" s="1"/>
      <c r="G3" s="1"/>
      <c r="H3" s="1"/>
      <c r="I3" s="1"/>
      <c r="J3" s="1"/>
      <c r="K3" s="1"/>
      <c r="L3" s="1"/>
      <c r="M3" s="1"/>
      <c r="N3" s="1"/>
      <c r="O3" s="1"/>
      <c r="P3" s="1"/>
      <c r="Q3" s="1"/>
      <c r="R3" s="1"/>
      <c r="S3" s="1"/>
      <c r="T3" s="1"/>
      <c r="U3" s="1"/>
      <c r="V3" s="1"/>
      <c r="W3" s="1"/>
      <c r="X3" s="1"/>
      <c r="Y3" s="1"/>
      <c r="Z3" s="3"/>
      <c r="AA3" s="657"/>
      <c r="AB3" s="660"/>
      <c r="AC3" s="660"/>
      <c r="AD3" s="660"/>
      <c r="AE3" s="660"/>
      <c r="AF3" s="660"/>
      <c r="AG3" s="660"/>
      <c r="AH3" s="660"/>
      <c r="AI3" s="660"/>
      <c r="AJ3" s="657"/>
      <c r="AK3" s="657"/>
      <c r="AL3" s="657"/>
      <c r="AM3" s="657"/>
      <c r="AN3" s="657"/>
      <c r="AO3" s="657"/>
      <c r="AP3" s="657"/>
      <c r="AQ3" s="657"/>
      <c r="AR3" s="657"/>
      <c r="AS3" s="657"/>
      <c r="AT3" s="657"/>
      <c r="AU3" s="657"/>
      <c r="AV3" s="657"/>
      <c r="AW3" s="657"/>
      <c r="AX3" s="657"/>
      <c r="AY3" s="657"/>
      <c r="AZ3" s="657"/>
    </row>
    <row r="4" spans="1:52" s="2" customFormat="1" ht="14.25" customHeight="1" x14ac:dyDescent="0.35">
      <c r="A4" s="3"/>
      <c r="B4" s="4"/>
      <c r="C4" s="1"/>
      <c r="D4" s="1"/>
      <c r="E4" s="1"/>
      <c r="F4" s="1"/>
      <c r="G4" s="1"/>
      <c r="H4" s="1"/>
      <c r="I4" s="1"/>
      <c r="J4" s="1"/>
      <c r="K4" s="1"/>
      <c r="L4" s="1"/>
      <c r="M4" s="1"/>
      <c r="N4" s="1"/>
      <c r="O4" s="1"/>
      <c r="P4" s="1"/>
      <c r="Q4" s="1"/>
      <c r="R4" s="1"/>
      <c r="S4" s="1"/>
      <c r="T4" s="1"/>
      <c r="U4" s="1"/>
      <c r="V4" s="1"/>
      <c r="W4" s="1"/>
      <c r="X4" s="1"/>
      <c r="Y4" s="1"/>
      <c r="Z4" s="3"/>
      <c r="AA4" s="657"/>
      <c r="AB4" s="660"/>
      <c r="AC4" s="660"/>
      <c r="AD4" s="660"/>
      <c r="AE4" s="660"/>
      <c r="AF4" s="660"/>
      <c r="AG4" s="660"/>
      <c r="AH4" s="660"/>
      <c r="AI4" s="660"/>
      <c r="AJ4" s="657"/>
      <c r="AK4" s="657"/>
      <c r="AL4" s="657"/>
      <c r="AM4" s="657"/>
      <c r="AN4" s="657"/>
      <c r="AO4" s="657"/>
      <c r="AP4" s="657"/>
      <c r="AQ4" s="657"/>
      <c r="AR4" s="657"/>
      <c r="AS4" s="657"/>
      <c r="AT4" s="657"/>
      <c r="AU4" s="657"/>
      <c r="AV4" s="657"/>
      <c r="AW4" s="657"/>
      <c r="AX4" s="657"/>
      <c r="AY4" s="657"/>
      <c r="AZ4" s="657"/>
    </row>
    <row r="5" spans="1:52" s="2" customFormat="1" ht="14.25" customHeight="1" x14ac:dyDescent="0.35">
      <c r="A5" s="3"/>
      <c r="B5" s="4"/>
      <c r="C5" s="1"/>
      <c r="D5" s="1"/>
      <c r="E5" s="1"/>
      <c r="F5" s="1"/>
      <c r="G5" s="1"/>
      <c r="H5" s="1"/>
      <c r="I5" s="1"/>
      <c r="J5" s="1"/>
      <c r="K5" s="1"/>
      <c r="L5" s="1"/>
      <c r="M5" s="1"/>
      <c r="N5" s="1"/>
      <c r="O5" s="1"/>
      <c r="P5" s="1"/>
      <c r="Q5" s="1"/>
      <c r="R5" s="1"/>
      <c r="S5" s="1"/>
      <c r="T5" s="1"/>
      <c r="U5" s="1"/>
      <c r="V5" s="1"/>
      <c r="W5" s="1"/>
      <c r="X5" s="1"/>
      <c r="Y5" s="1"/>
      <c r="Z5" s="3"/>
      <c r="AA5" s="657"/>
      <c r="AB5" s="660"/>
      <c r="AC5" s="660"/>
      <c r="AD5" s="660"/>
      <c r="AE5" s="660"/>
      <c r="AF5" s="660"/>
      <c r="AG5" s="660"/>
      <c r="AH5" s="660"/>
      <c r="AI5" s="660"/>
      <c r="AJ5" s="657"/>
      <c r="AK5" s="657"/>
      <c r="AL5" s="657"/>
      <c r="AM5" s="657"/>
      <c r="AN5" s="657"/>
      <c r="AO5" s="657"/>
      <c r="AP5" s="657"/>
      <c r="AQ5" s="657"/>
      <c r="AR5" s="657"/>
      <c r="AS5" s="657"/>
      <c r="AT5" s="657"/>
      <c r="AU5" s="657"/>
      <c r="AV5" s="657"/>
      <c r="AW5" s="657"/>
      <c r="AX5" s="657"/>
      <c r="AY5" s="657"/>
      <c r="AZ5" s="657"/>
    </row>
    <row r="6" spans="1:52" x14ac:dyDescent="0.35">
      <c r="B6" s="39"/>
      <c r="C6" s="39"/>
      <c r="D6" s="39"/>
      <c r="E6" s="39"/>
      <c r="F6" s="39"/>
      <c r="G6" s="39"/>
      <c r="H6" s="39"/>
      <c r="I6" s="39"/>
      <c r="J6" s="39"/>
      <c r="K6" s="39"/>
      <c r="L6" s="39"/>
      <c r="M6" s="39"/>
      <c r="N6" s="39"/>
      <c r="O6" s="39"/>
      <c r="P6" s="39"/>
      <c r="Q6" s="39"/>
      <c r="R6" s="39"/>
      <c r="S6" s="654"/>
      <c r="T6" s="654"/>
      <c r="U6" s="654"/>
      <c r="V6" s="654"/>
      <c r="W6" s="654"/>
      <c r="X6" s="654"/>
      <c r="Y6" s="654"/>
      <c r="Z6" s="662" t="s">
        <v>762</v>
      </c>
      <c r="AA6" s="657"/>
      <c r="AB6" s="212"/>
      <c r="AC6" s="212" t="s">
        <v>77</v>
      </c>
      <c r="AD6" s="212" t="s">
        <v>744</v>
      </c>
      <c r="AE6" s="212" t="s">
        <v>761</v>
      </c>
      <c r="AF6" s="212" t="s">
        <v>759</v>
      </c>
    </row>
    <row r="7" spans="1:52" ht="18.5" x14ac:dyDescent="0.35">
      <c r="B7" s="497" t="s">
        <v>0</v>
      </c>
      <c r="C7" s="500" t="s">
        <v>79</v>
      </c>
      <c r="D7" s="39"/>
      <c r="E7" s="498" t="s">
        <v>547</v>
      </c>
      <c r="F7" s="498"/>
      <c r="G7" s="500" t="s">
        <v>614</v>
      </c>
      <c r="H7" s="500" t="s">
        <v>120</v>
      </c>
      <c r="I7" s="39"/>
      <c r="J7" s="804" t="s">
        <v>548</v>
      </c>
      <c r="K7" s="804"/>
      <c r="L7" s="500" t="s">
        <v>549</v>
      </c>
      <c r="M7" s="500" t="s">
        <v>578</v>
      </c>
      <c r="N7" s="39"/>
      <c r="O7" s="495" t="s">
        <v>612</v>
      </c>
      <c r="P7" s="500" t="s">
        <v>549</v>
      </c>
      <c r="Q7" s="500" t="s">
        <v>578</v>
      </c>
      <c r="R7" s="39"/>
      <c r="S7" s="654"/>
      <c r="T7" s="654"/>
      <c r="U7" s="654"/>
      <c r="V7" s="654"/>
      <c r="W7" s="654"/>
      <c r="X7" s="654"/>
      <c r="Y7" s="654"/>
      <c r="Z7" s="654"/>
      <c r="AA7" s="657"/>
      <c r="AB7" s="212" t="s">
        <v>742</v>
      </c>
      <c r="AC7" s="655">
        <f>L13</f>
        <v>70672</v>
      </c>
    </row>
    <row r="8" spans="1:52" ht="27" customHeight="1" x14ac:dyDescent="0.35">
      <c r="B8" s="519" t="s">
        <v>581</v>
      </c>
      <c r="C8" s="509">
        <v>20</v>
      </c>
      <c r="D8" s="39"/>
      <c r="E8" s="813" t="s">
        <v>582</v>
      </c>
      <c r="F8" s="814"/>
      <c r="G8" s="510">
        <v>6000</v>
      </c>
      <c r="H8" s="774">
        <f>C8*G8</f>
        <v>120000</v>
      </c>
      <c r="I8" s="39"/>
      <c r="J8" s="797" t="s">
        <v>583</v>
      </c>
      <c r="K8" s="798"/>
      <c r="L8" s="511">
        <v>57600</v>
      </c>
      <c r="M8" s="525">
        <v>0.48</v>
      </c>
      <c r="N8" s="39"/>
      <c r="O8" s="519" t="s">
        <v>584</v>
      </c>
      <c r="P8" s="511">
        <v>16440</v>
      </c>
      <c r="Q8" s="419">
        <f>IF(C8*G8=0,0,P8/(C8*G8))</f>
        <v>0.13700000000000001</v>
      </c>
      <c r="R8" s="39"/>
      <c r="S8" s="654"/>
      <c r="T8" s="654"/>
      <c r="U8" s="654"/>
      <c r="V8" s="654"/>
      <c r="W8" s="654"/>
      <c r="X8" s="654"/>
      <c r="Y8" s="654"/>
      <c r="Z8" s="654"/>
      <c r="AA8" s="657"/>
      <c r="AB8" s="212" t="s">
        <v>612</v>
      </c>
      <c r="AC8" s="655">
        <f>P13</f>
        <v>29040</v>
      </c>
    </row>
    <row r="9" spans="1:52" ht="27" customHeight="1" x14ac:dyDescent="0.35">
      <c r="B9" s="519" t="s">
        <v>585</v>
      </c>
      <c r="C9" s="509"/>
      <c r="D9" s="39"/>
      <c r="E9" s="813" t="s">
        <v>586</v>
      </c>
      <c r="F9" s="814"/>
      <c r="G9" s="419">
        <f>IF(C9=0,0,H9/C9)</f>
        <v>0</v>
      </c>
      <c r="H9" s="775"/>
      <c r="I9" s="39"/>
      <c r="J9" s="797" t="s">
        <v>587</v>
      </c>
      <c r="K9" s="798"/>
      <c r="L9" s="511"/>
      <c r="M9" s="420">
        <f>IF(H9=0,0,L9/H9)</f>
        <v>0</v>
      </c>
      <c r="N9" s="39"/>
      <c r="O9" s="519" t="s">
        <v>588</v>
      </c>
      <c r="P9" s="511"/>
      <c r="Q9" s="420">
        <f>IF(C9=0,0,P9/C9)</f>
        <v>0</v>
      </c>
      <c r="R9" s="39"/>
      <c r="S9" s="654"/>
      <c r="T9" s="654"/>
      <c r="U9" s="654"/>
      <c r="V9" s="654"/>
      <c r="W9" s="654"/>
      <c r="X9" s="654"/>
      <c r="Y9" s="654"/>
      <c r="Z9" s="654"/>
      <c r="AA9" s="657"/>
      <c r="AB9" s="212" t="s">
        <v>743</v>
      </c>
      <c r="AC9" s="655">
        <f>Q15+Q16</f>
        <v>3360</v>
      </c>
      <c r="AF9" s="655"/>
      <c r="AG9" s="655">
        <f>Q15+Q16</f>
        <v>3360</v>
      </c>
    </row>
    <row r="10" spans="1:52" ht="27" customHeight="1" x14ac:dyDescent="0.35">
      <c r="B10" s="519" t="s">
        <v>589</v>
      </c>
      <c r="C10" s="509">
        <v>8</v>
      </c>
      <c r="D10" s="39"/>
      <c r="E10" s="813" t="s">
        <v>590</v>
      </c>
      <c r="F10" s="814"/>
      <c r="G10" s="510">
        <v>244</v>
      </c>
      <c r="H10" s="774">
        <f>C10*G10</f>
        <v>1952</v>
      </c>
      <c r="I10" s="39"/>
      <c r="J10" s="797" t="s">
        <v>591</v>
      </c>
      <c r="K10" s="798"/>
      <c r="L10" s="511">
        <v>9760</v>
      </c>
      <c r="M10" s="419">
        <f>IF(C10*G10=0,0,L10/(C10*G10))</f>
        <v>5</v>
      </c>
      <c r="N10" s="39"/>
      <c r="O10" s="519" t="s">
        <v>592</v>
      </c>
      <c r="P10" s="511"/>
      <c r="Q10" s="420">
        <f>IF(C10=0,0,P10/C10)</f>
        <v>0</v>
      </c>
      <c r="R10" s="39"/>
      <c r="S10" s="654"/>
      <c r="T10" s="654"/>
      <c r="U10" s="654"/>
      <c r="V10" s="654"/>
      <c r="W10" s="654"/>
      <c r="X10" s="654"/>
      <c r="Y10" s="654"/>
      <c r="Z10" s="654"/>
      <c r="AA10" s="657"/>
      <c r="AB10" s="212" t="s">
        <v>755</v>
      </c>
      <c r="AC10" s="655">
        <f>'Rehun käyttö, nettosato'!F31+'Rehun käyttö, nettosato'!F32+'Rehun käyttö, nettosato'!F33</f>
        <v>0</v>
      </c>
      <c r="AF10" s="655"/>
      <c r="AG10" s="655">
        <f>'Rehun käyttö, nettosato'!F31+'Rehun käyttö, nettosato'!F32+'Rehun käyttö, nettosato'!F33</f>
        <v>0</v>
      </c>
    </row>
    <row r="11" spans="1:52" ht="27" customHeight="1" x14ac:dyDescent="0.35">
      <c r="B11" s="519" t="s">
        <v>593</v>
      </c>
      <c r="C11" s="509">
        <v>6</v>
      </c>
      <c r="D11" s="39"/>
      <c r="E11" s="797" t="s">
        <v>594</v>
      </c>
      <c r="F11" s="798"/>
      <c r="G11" s="510">
        <v>184</v>
      </c>
      <c r="H11" s="774">
        <f>C11*G11</f>
        <v>1104</v>
      </c>
      <c r="I11" s="39"/>
      <c r="J11" s="797" t="s">
        <v>595</v>
      </c>
      <c r="K11" s="798"/>
      <c r="L11" s="511">
        <v>3312</v>
      </c>
      <c r="M11" s="419">
        <f>IF(C11*G11=0,0,L11/(C11*G11))</f>
        <v>3</v>
      </c>
      <c r="N11" s="39"/>
      <c r="O11" s="519" t="s">
        <v>596</v>
      </c>
      <c r="P11" s="511"/>
      <c r="Q11" s="420">
        <f>IF(C11=0,0,P11/C11)</f>
        <v>0</v>
      </c>
      <c r="R11" s="39"/>
      <c r="S11" s="654"/>
      <c r="T11" s="654"/>
      <c r="U11" s="654"/>
      <c r="V11" s="654"/>
      <c r="W11" s="654"/>
      <c r="X11" s="654"/>
      <c r="Y11" s="654"/>
      <c r="Z11" s="654"/>
      <c r="AA11" s="657"/>
      <c r="AB11" s="212" t="s">
        <v>754</v>
      </c>
      <c r="AC11" s="655">
        <f>L39</f>
        <v>20300</v>
      </c>
    </row>
    <row r="12" spans="1:52" ht="27" customHeight="1" thickBot="1" x14ac:dyDescent="0.4">
      <c r="B12" s="519" t="s">
        <v>597</v>
      </c>
      <c r="C12" s="509">
        <v>0</v>
      </c>
      <c r="D12" s="39"/>
      <c r="E12" s="39"/>
      <c r="F12" s="39"/>
      <c r="G12" s="39"/>
      <c r="H12" s="39"/>
      <c r="I12" s="39"/>
      <c r="J12" s="797" t="s">
        <v>598</v>
      </c>
      <c r="K12" s="798"/>
      <c r="L12" s="511"/>
      <c r="M12" s="420">
        <f>IF(C12=0,0,L12/C12)</f>
        <v>0</v>
      </c>
      <c r="N12" s="39"/>
      <c r="O12" s="519" t="s">
        <v>722</v>
      </c>
      <c r="P12" s="511">
        <v>12600</v>
      </c>
      <c r="Q12" s="420">
        <f>IF(C12=0,0,P12/C12)</f>
        <v>0</v>
      </c>
      <c r="R12" s="39"/>
      <c r="S12" s="654"/>
      <c r="T12" s="654"/>
      <c r="U12" s="654"/>
      <c r="V12" s="654"/>
      <c r="W12" s="654"/>
      <c r="X12" s="654"/>
      <c r="Y12" s="654"/>
      <c r="Z12" s="654"/>
      <c r="AA12" s="657"/>
      <c r="AB12" s="212" t="s">
        <v>745</v>
      </c>
      <c r="AD12" s="655">
        <f>SUM(C19:C25)</f>
        <v>11600</v>
      </c>
    </row>
    <row r="13" spans="1:52" ht="15" thickBot="1" x14ac:dyDescent="0.4">
      <c r="B13" s="39"/>
      <c r="C13" s="39"/>
      <c r="D13" s="39"/>
      <c r="E13" s="39"/>
      <c r="F13" s="39"/>
      <c r="G13" s="39"/>
      <c r="H13" s="39"/>
      <c r="I13" s="39"/>
      <c r="J13" s="501" t="s">
        <v>560</v>
      </c>
      <c r="K13" s="501"/>
      <c r="L13" s="187">
        <f>SUM(L8:L12)</f>
        <v>70672</v>
      </c>
      <c r="M13" s="39"/>
      <c r="N13" s="39"/>
      <c r="O13" s="501" t="s">
        <v>560</v>
      </c>
      <c r="P13" s="187">
        <f>SUM(P8:P12)</f>
        <v>29040</v>
      </c>
      <c r="Q13" s="39"/>
      <c r="R13" s="39"/>
      <c r="S13" s="654"/>
      <c r="T13" s="654"/>
      <c r="U13" s="654"/>
      <c r="V13" s="654"/>
      <c r="W13" s="654"/>
      <c r="X13" s="654"/>
      <c r="Y13" s="654"/>
      <c r="Z13" s="654"/>
      <c r="AA13" s="657"/>
      <c r="AB13" s="212" t="s">
        <v>753</v>
      </c>
      <c r="AD13" s="655">
        <f>SUM(C42:C51)</f>
        <v>12000</v>
      </c>
    </row>
    <row r="14" spans="1:52" ht="18.5" x14ac:dyDescent="0.35">
      <c r="B14" s="499" t="s">
        <v>93</v>
      </c>
      <c r="C14" s="500" t="s">
        <v>552</v>
      </c>
      <c r="D14" s="39"/>
      <c r="E14" s="497" t="s">
        <v>553</v>
      </c>
      <c r="F14" s="497"/>
      <c r="G14" s="503"/>
      <c r="H14" s="500" t="s">
        <v>556</v>
      </c>
      <c r="I14" s="39"/>
      <c r="J14" s="493" t="s">
        <v>559</v>
      </c>
      <c r="K14" s="493" t="s">
        <v>602</v>
      </c>
      <c r="L14" s="493" t="s">
        <v>603</v>
      </c>
      <c r="M14" s="493" t="s">
        <v>604</v>
      </c>
      <c r="N14" s="39"/>
      <c r="O14" s="39"/>
      <c r="P14" s="39"/>
      <c r="Q14" s="500" t="s">
        <v>549</v>
      </c>
      <c r="R14" s="39"/>
      <c r="S14" s="654"/>
      <c r="T14" s="654"/>
      <c r="U14" s="654"/>
      <c r="V14" s="654"/>
      <c r="W14" s="654"/>
      <c r="X14" s="654"/>
      <c r="Y14" s="654"/>
      <c r="Z14" s="654"/>
      <c r="AA14" s="657"/>
      <c r="AB14" s="212" t="s">
        <v>749</v>
      </c>
      <c r="AD14" s="655">
        <f>H23*'Säilörehun tuotantokustannus'!P26-H25</f>
        <v>31025</v>
      </c>
    </row>
    <row r="15" spans="1:52" x14ac:dyDescent="0.35">
      <c r="B15" s="519" t="s">
        <v>550</v>
      </c>
      <c r="C15" s="513">
        <v>0.2</v>
      </c>
      <c r="D15" s="39"/>
      <c r="E15" s="815" t="s">
        <v>554</v>
      </c>
      <c r="F15" s="816"/>
      <c r="G15" s="817"/>
      <c r="H15" s="512">
        <v>22</v>
      </c>
      <c r="I15" s="39"/>
      <c r="J15" s="520" t="s">
        <v>557</v>
      </c>
      <c r="K15" s="510"/>
      <c r="L15" s="421"/>
      <c r="M15" s="421" t="s">
        <v>780</v>
      </c>
      <c r="N15" s="39"/>
      <c r="O15" s="807" t="s">
        <v>605</v>
      </c>
      <c r="P15" s="808"/>
      <c r="Q15" s="511">
        <v>3360</v>
      </c>
      <c r="R15" s="39"/>
      <c r="S15" s="654"/>
      <c r="T15" s="654"/>
      <c r="U15" s="654"/>
      <c r="V15" s="654"/>
      <c r="W15" s="654"/>
      <c r="X15" s="654"/>
      <c r="Y15" s="654"/>
      <c r="Z15" s="654"/>
      <c r="AA15" s="657"/>
      <c r="AB15" s="212" t="s">
        <v>752</v>
      </c>
      <c r="AD15" s="655">
        <f>H48*'Säilörehun tuotantokustannus'!P26-H50</f>
        <v>5423</v>
      </c>
    </row>
    <row r="16" spans="1:52" x14ac:dyDescent="0.35">
      <c r="B16" s="519" t="s">
        <v>551</v>
      </c>
      <c r="C16" s="513"/>
      <c r="D16" s="39"/>
      <c r="E16" s="815" t="s">
        <v>555</v>
      </c>
      <c r="F16" s="816"/>
      <c r="G16" s="817"/>
      <c r="H16" s="512">
        <v>25</v>
      </c>
      <c r="I16" s="39"/>
      <c r="J16" s="520" t="s">
        <v>558</v>
      </c>
      <c r="K16" s="510" t="s">
        <v>780</v>
      </c>
      <c r="L16" s="421"/>
      <c r="M16" s="421" t="s">
        <v>780</v>
      </c>
      <c r="N16" s="39"/>
      <c r="O16" s="807" t="s">
        <v>606</v>
      </c>
      <c r="P16" s="808"/>
      <c r="Q16" s="511"/>
      <c r="R16" s="39"/>
      <c r="S16" s="654"/>
      <c r="T16" s="654"/>
      <c r="U16" s="654"/>
      <c r="V16" s="654"/>
      <c r="W16" s="654"/>
      <c r="X16" s="654"/>
      <c r="Y16" s="654"/>
      <c r="Z16" s="654"/>
      <c r="AA16" s="657"/>
      <c r="AB16" s="212" t="s">
        <v>750</v>
      </c>
      <c r="AD16" s="655">
        <f>SUM(M21:M25)</f>
        <v>17666.666666666668</v>
      </c>
    </row>
    <row r="17" spans="1:52" s="424" customFormat="1" x14ac:dyDescent="0.35">
      <c r="A17" s="49"/>
      <c r="B17" s="506"/>
      <c r="C17" s="507"/>
      <c r="D17" s="39"/>
      <c r="E17" s="506"/>
      <c r="F17" s="506"/>
      <c r="G17" s="506"/>
      <c r="H17" s="508"/>
      <c r="I17" s="39"/>
      <c r="J17" s="506"/>
      <c r="K17" s="506"/>
      <c r="L17" s="506"/>
      <c r="M17" s="505"/>
      <c r="N17" s="39"/>
      <c r="O17" s="504"/>
      <c r="P17" s="504"/>
      <c r="Q17" s="505"/>
      <c r="R17" s="39"/>
      <c r="S17" s="654"/>
      <c r="T17" s="654"/>
      <c r="U17" s="654"/>
      <c r="V17" s="654"/>
      <c r="W17" s="654"/>
      <c r="X17" s="654"/>
      <c r="Y17" s="654"/>
      <c r="Z17" s="654"/>
      <c r="AA17" s="657"/>
      <c r="AB17" s="212" t="s">
        <v>751</v>
      </c>
      <c r="AC17" s="212"/>
      <c r="AD17" s="655">
        <f>SUM(M44:M48)</f>
        <v>20833.333333333336</v>
      </c>
      <c r="AE17" s="212"/>
      <c r="AF17" s="212"/>
      <c r="AG17" s="212"/>
      <c r="AH17" s="212"/>
      <c r="AI17" s="212"/>
      <c r="AJ17" s="213"/>
      <c r="AK17" s="213"/>
      <c r="AL17" s="213"/>
      <c r="AM17" s="213"/>
      <c r="AN17" s="213"/>
      <c r="AO17" s="213"/>
      <c r="AP17" s="213"/>
      <c r="AQ17" s="213"/>
      <c r="AR17" s="213"/>
      <c r="AS17" s="213"/>
      <c r="AT17" s="213"/>
      <c r="AU17" s="213"/>
      <c r="AV17" s="213"/>
      <c r="AW17" s="213"/>
      <c r="AX17" s="213"/>
      <c r="AY17" s="213"/>
      <c r="AZ17" s="213"/>
    </row>
    <row r="18" spans="1:52" ht="18.5" x14ac:dyDescent="0.35">
      <c r="B18" s="494" t="s">
        <v>561</v>
      </c>
      <c r="C18" s="500" t="s">
        <v>549</v>
      </c>
      <c r="D18" s="502"/>
      <c r="E18" s="496" t="s">
        <v>562</v>
      </c>
      <c r="F18" s="496"/>
      <c r="G18" s="500" t="s">
        <v>563</v>
      </c>
      <c r="H18" s="500" t="s">
        <v>615</v>
      </c>
      <c r="I18" s="502"/>
      <c r="J18" s="812" t="s">
        <v>564</v>
      </c>
      <c r="K18" s="812"/>
      <c r="L18" s="812"/>
      <c r="M18" s="500" t="s">
        <v>549</v>
      </c>
      <c r="N18" s="502"/>
      <c r="O18" s="805" t="s">
        <v>567</v>
      </c>
      <c r="P18" s="805"/>
      <c r="Q18" s="500" t="s">
        <v>552</v>
      </c>
      <c r="R18" s="39"/>
      <c r="S18" s="39"/>
      <c r="T18" s="39"/>
      <c r="U18" s="39"/>
      <c r="V18" s="39"/>
      <c r="W18" s="39"/>
      <c r="X18" s="39"/>
      <c r="Y18" s="39"/>
      <c r="Z18" s="39"/>
      <c r="AA18" s="657"/>
      <c r="AB18" s="212" t="s">
        <v>756</v>
      </c>
      <c r="AD18" s="655">
        <f>SUM(M19:M20,M42:M43,M50)/2*'Säilörehun tuotantokustannus'!Q34</f>
        <v>11875</v>
      </c>
    </row>
    <row r="19" spans="1:52" ht="15" customHeight="1" x14ac:dyDescent="0.35">
      <c r="B19" s="521" t="s">
        <v>47</v>
      </c>
      <c r="C19" s="510">
        <v>2000</v>
      </c>
      <c r="D19" s="39"/>
      <c r="E19" s="797" t="s">
        <v>530</v>
      </c>
      <c r="F19" s="798"/>
      <c r="G19" s="514">
        <v>5</v>
      </c>
      <c r="H19" s="420">
        <f>G19*365</f>
        <v>1825</v>
      </c>
      <c r="I19" s="39"/>
      <c r="J19" s="517" t="s">
        <v>695</v>
      </c>
      <c r="K19" s="776" t="s">
        <v>696</v>
      </c>
      <c r="L19" s="616">
        <v>15</v>
      </c>
      <c r="M19" s="511">
        <v>70000</v>
      </c>
      <c r="N19" s="39"/>
      <c r="O19" s="517" t="s">
        <v>530</v>
      </c>
      <c r="P19" s="518"/>
      <c r="Q19" s="617">
        <f>IF('Säilörehun tuotantokustannus'!$I$12=0,0,('Säilörehun tuotantokustannus'!I5+'Säilörehun tuotantokustannus'!I6)/'Säilörehun tuotantokustannus'!$I$12)</f>
        <v>0.63844190841619353</v>
      </c>
      <c r="R19" s="39"/>
      <c r="S19" s="39"/>
      <c r="T19" s="39"/>
      <c r="U19" s="39"/>
      <c r="V19" s="39"/>
      <c r="W19" s="39"/>
      <c r="X19" s="39"/>
      <c r="Y19" s="39"/>
      <c r="Z19" s="39"/>
      <c r="AA19" s="657"/>
      <c r="AB19" s="212" t="s">
        <v>74</v>
      </c>
      <c r="AD19" s="655">
        <f>C67</f>
        <v>14800</v>
      </c>
    </row>
    <row r="20" spans="1:52" ht="15" customHeight="1" x14ac:dyDescent="0.35">
      <c r="B20" s="521" t="s">
        <v>72</v>
      </c>
      <c r="C20" s="510">
        <v>600</v>
      </c>
      <c r="D20" s="39"/>
      <c r="E20" s="797" t="s">
        <v>405</v>
      </c>
      <c r="F20" s="798"/>
      <c r="G20" s="514"/>
      <c r="H20" s="420">
        <f>G20*365</f>
        <v>0</v>
      </c>
      <c r="I20" s="39"/>
      <c r="J20" s="517" t="s">
        <v>697</v>
      </c>
      <c r="K20" s="776" t="s">
        <v>696</v>
      </c>
      <c r="L20" s="616">
        <v>15</v>
      </c>
      <c r="M20" s="511">
        <v>120000</v>
      </c>
      <c r="N20" s="39"/>
      <c r="O20" s="517" t="s">
        <v>405</v>
      </c>
      <c r="P20" s="518"/>
      <c r="Q20" s="617">
        <f>IF('Säilörehun tuotantokustannus'!$I$12=0,0,('Säilörehun tuotantokustannus'!I7+'Säilörehun tuotantokustannus'!I8+'Säilörehun tuotantokustannus'!I11)/'Säilörehun tuotantokustannus'!$I$12)</f>
        <v>0</v>
      </c>
      <c r="R20" s="39"/>
      <c r="S20" s="39"/>
      <c r="T20" s="39"/>
      <c r="U20" s="39"/>
      <c r="V20" s="39"/>
      <c r="W20" s="39"/>
      <c r="X20" s="39"/>
      <c r="Y20" s="39"/>
      <c r="Z20" s="39"/>
      <c r="AA20" s="657"/>
      <c r="AB20" s="212" t="s">
        <v>761</v>
      </c>
      <c r="AE20" s="655">
        <f>ROUNDUP(AI25,-3)</f>
        <v>-2000</v>
      </c>
    </row>
    <row r="21" spans="1:52" x14ac:dyDescent="0.35">
      <c r="B21" s="521" t="s">
        <v>481</v>
      </c>
      <c r="C21" s="510">
        <v>1500</v>
      </c>
      <c r="D21" s="39"/>
      <c r="E21" s="797" t="s">
        <v>519</v>
      </c>
      <c r="F21" s="798"/>
      <c r="G21" s="514"/>
      <c r="H21" s="420">
        <f>G21*365</f>
        <v>0</v>
      </c>
      <c r="I21" s="39"/>
      <c r="J21" s="797" t="s">
        <v>607</v>
      </c>
      <c r="K21" s="806"/>
      <c r="L21" s="798"/>
      <c r="M21" s="516">
        <f>IF(L19=0,0,M19/L19)</f>
        <v>4666.666666666667</v>
      </c>
      <c r="N21" s="39"/>
      <c r="O21" s="517" t="s">
        <v>519</v>
      </c>
      <c r="P21" s="518"/>
      <c r="Q21" s="617">
        <f>IF('Säilörehun tuotantokustannus'!$I$12=0,0,('Säilörehun tuotantokustannus'!I9)/'Säilörehun tuotantokustannus'!$I$12)</f>
        <v>0.23664415604308056</v>
      </c>
      <c r="R21" s="39"/>
      <c r="S21" s="39"/>
      <c r="T21" s="39"/>
      <c r="U21" s="39"/>
      <c r="V21" s="39"/>
      <c r="W21" s="39"/>
      <c r="X21" s="39"/>
      <c r="Y21" s="39"/>
      <c r="Z21" s="39"/>
      <c r="AA21" s="657"/>
      <c r="AB21" s="212" t="s">
        <v>759</v>
      </c>
      <c r="AF21" s="655">
        <f>ROUNDUP(AC25-AD23,-3)</f>
        <v>47000</v>
      </c>
    </row>
    <row r="22" spans="1:52" ht="15" thickBot="1" x14ac:dyDescent="0.4">
      <c r="B22" s="521" t="s">
        <v>482</v>
      </c>
      <c r="C22" s="510">
        <v>2500</v>
      </c>
      <c r="D22" s="39"/>
      <c r="E22" s="797" t="s">
        <v>528</v>
      </c>
      <c r="F22" s="798"/>
      <c r="G22" s="514"/>
      <c r="H22" s="434">
        <f>G22*365</f>
        <v>0</v>
      </c>
      <c r="I22" s="39"/>
      <c r="J22" s="797" t="s">
        <v>608</v>
      </c>
      <c r="K22" s="806"/>
      <c r="L22" s="798"/>
      <c r="M22" s="516">
        <f>IF(L20=0,0,M20/L20)</f>
        <v>8000</v>
      </c>
      <c r="N22" s="39"/>
      <c r="O22" s="517" t="s">
        <v>528</v>
      </c>
      <c r="P22" s="518"/>
      <c r="Q22" s="617">
        <f>IF('Säilörehun tuotantokustannus'!$I$12=0,0,('Säilörehun tuotantokustannus'!I10)/'Säilörehun tuotantokustannus'!$I$12)</f>
        <v>0.12491393554072597</v>
      </c>
      <c r="R22" s="39"/>
      <c r="S22" s="39"/>
      <c r="T22" s="39"/>
      <c r="U22" s="39"/>
      <c r="V22" s="39"/>
      <c r="W22" s="39"/>
      <c r="X22" s="39"/>
      <c r="Y22" s="39"/>
      <c r="Z22" s="39"/>
      <c r="AA22" s="657"/>
      <c r="AB22" s="212"/>
    </row>
    <row r="23" spans="1:52" ht="15" thickBot="1" x14ac:dyDescent="0.4">
      <c r="B23" s="521" t="s">
        <v>49</v>
      </c>
      <c r="C23" s="510">
        <v>1500</v>
      </c>
      <c r="D23" s="39"/>
      <c r="E23" s="790" t="s">
        <v>667</v>
      </c>
      <c r="F23" s="790"/>
      <c r="G23" s="791"/>
      <c r="H23" s="191">
        <f>SUM(H19:H22)</f>
        <v>1825</v>
      </c>
      <c r="I23" s="39"/>
      <c r="J23" s="39"/>
      <c r="K23" s="39"/>
      <c r="L23" s="39"/>
      <c r="M23" s="500" t="s">
        <v>549</v>
      </c>
      <c r="N23" s="39"/>
      <c r="O23" s="39"/>
      <c r="P23" s="39"/>
      <c r="Q23" s="39"/>
      <c r="R23" s="39"/>
      <c r="S23" s="39"/>
      <c r="T23" s="39"/>
      <c r="U23" s="39"/>
      <c r="V23" s="39"/>
      <c r="W23" s="39"/>
      <c r="X23" s="39"/>
      <c r="Y23" s="39"/>
      <c r="Z23" s="39"/>
      <c r="AA23" s="657"/>
      <c r="AB23" s="212" t="s">
        <v>760</v>
      </c>
      <c r="AD23" s="655">
        <f>SUM(AD12:AD13,AD16:AD17,AD19)</f>
        <v>76900</v>
      </c>
    </row>
    <row r="24" spans="1:52" x14ac:dyDescent="0.35">
      <c r="B24" s="521" t="s">
        <v>50</v>
      </c>
      <c r="C24" s="510">
        <v>3500</v>
      </c>
      <c r="D24" s="39"/>
      <c r="E24" s="792" t="s">
        <v>621</v>
      </c>
      <c r="F24" s="793"/>
      <c r="G24" s="794"/>
      <c r="H24" s="515"/>
      <c r="I24" s="39"/>
      <c r="J24" s="809" t="s">
        <v>565</v>
      </c>
      <c r="K24" s="810"/>
      <c r="L24" s="811"/>
      <c r="M24" s="511">
        <v>2000</v>
      </c>
      <c r="N24" s="39"/>
      <c r="O24" s="803" t="s">
        <v>568</v>
      </c>
      <c r="P24" s="803"/>
      <c r="Q24" s="803"/>
      <c r="R24" s="39"/>
      <c r="S24" s="39"/>
      <c r="T24" s="39"/>
      <c r="U24" s="39"/>
      <c r="V24" s="39"/>
      <c r="W24" s="39"/>
      <c r="X24" s="39"/>
      <c r="Y24" s="39"/>
      <c r="Z24" s="39"/>
      <c r="AA24" s="657"/>
      <c r="AB24" s="212"/>
    </row>
    <row r="25" spans="1:52" ht="15" customHeight="1" x14ac:dyDescent="0.35">
      <c r="B25" s="521" t="s">
        <v>51</v>
      </c>
      <c r="C25" s="510"/>
      <c r="D25" s="39"/>
      <c r="E25" s="792" t="s">
        <v>622</v>
      </c>
      <c r="F25" s="793"/>
      <c r="G25" s="794"/>
      <c r="H25" s="510"/>
      <c r="I25" s="39"/>
      <c r="J25" s="809" t="s">
        <v>566</v>
      </c>
      <c r="K25" s="810"/>
      <c r="L25" s="811"/>
      <c r="M25" s="511">
        <v>3000</v>
      </c>
      <c r="N25" s="39"/>
      <c r="O25" s="801" t="s">
        <v>668</v>
      </c>
      <c r="P25" s="801"/>
      <c r="Q25" s="801"/>
      <c r="R25" s="39"/>
      <c r="S25" s="39"/>
      <c r="T25" s="39"/>
      <c r="U25" s="39"/>
      <c r="V25" s="39"/>
      <c r="W25" s="39"/>
      <c r="X25" s="39"/>
      <c r="Y25" s="39"/>
      <c r="Z25" s="39"/>
      <c r="AA25" s="657"/>
      <c r="AB25" s="212" t="s">
        <v>81</v>
      </c>
      <c r="AC25" s="655">
        <f>SUM(AC7:AC11)</f>
        <v>123372</v>
      </c>
      <c r="AE25" s="212" t="s">
        <v>757</v>
      </c>
      <c r="AF25" s="655">
        <f>SUM(AD12:AD19)</f>
        <v>125223</v>
      </c>
      <c r="AH25" s="212" t="s">
        <v>758</v>
      </c>
      <c r="AI25" s="655">
        <f>AC25-AF25</f>
        <v>-1851</v>
      </c>
    </row>
    <row r="26" spans="1:52" x14ac:dyDescent="0.35">
      <c r="B26" s="39"/>
      <c r="C26" s="39"/>
      <c r="D26" s="39"/>
      <c r="E26" s="39"/>
      <c r="F26" s="39"/>
      <c r="G26" s="39"/>
      <c r="H26" s="39"/>
      <c r="I26" s="39"/>
      <c r="J26" s="39"/>
      <c r="K26" s="39"/>
      <c r="L26" s="39"/>
      <c r="M26" s="39"/>
      <c r="N26" s="39"/>
      <c r="O26" s="39"/>
      <c r="P26" s="39"/>
      <c r="Q26" s="39"/>
      <c r="R26" s="39"/>
      <c r="S26" s="39"/>
      <c r="T26" s="39"/>
      <c r="U26" s="39"/>
      <c r="V26" s="39"/>
      <c r="W26" s="39"/>
      <c r="X26" s="39"/>
      <c r="Y26" s="39"/>
      <c r="Z26" s="39"/>
      <c r="AA26" s="657"/>
      <c r="AB26" s="660"/>
    </row>
    <row r="27" spans="1:52" s="2" customFormat="1" ht="14.25" customHeight="1" x14ac:dyDescent="0.35">
      <c r="A27" s="3"/>
      <c r="B27" s="4"/>
      <c r="C27" s="1"/>
      <c r="D27" s="1"/>
      <c r="E27" s="1"/>
      <c r="F27" s="1"/>
      <c r="G27" s="1"/>
      <c r="H27" s="1"/>
      <c r="I27" s="1"/>
      <c r="J27" s="1"/>
      <c r="K27" s="1"/>
      <c r="L27" s="1"/>
      <c r="M27" s="1"/>
      <c r="N27" s="1"/>
      <c r="O27" s="1"/>
      <c r="P27" s="1"/>
      <c r="Q27" s="1"/>
      <c r="R27" s="1"/>
      <c r="S27" s="1"/>
      <c r="T27" s="1"/>
      <c r="U27" s="1"/>
      <c r="V27" s="1"/>
      <c r="W27" s="1"/>
      <c r="X27" s="1"/>
      <c r="Y27" s="1"/>
      <c r="Z27" s="3"/>
      <c r="AA27" s="657"/>
      <c r="AB27" s="660"/>
      <c r="AC27" s="660"/>
      <c r="AD27" s="660"/>
      <c r="AE27" s="660"/>
      <c r="AF27" s="660"/>
      <c r="AG27" s="660"/>
      <c r="AH27" s="660"/>
      <c r="AI27" s="660"/>
      <c r="AJ27" s="657"/>
      <c r="AK27" s="657"/>
      <c r="AL27" s="657"/>
      <c r="AM27" s="657"/>
      <c r="AN27" s="657"/>
      <c r="AO27" s="657"/>
      <c r="AP27" s="657"/>
      <c r="AQ27" s="657"/>
      <c r="AR27" s="657"/>
      <c r="AS27" s="657"/>
      <c r="AT27" s="657"/>
      <c r="AU27" s="657"/>
      <c r="AV27" s="657"/>
      <c r="AW27" s="657"/>
      <c r="AX27" s="657"/>
      <c r="AY27" s="657"/>
      <c r="AZ27" s="657"/>
    </row>
    <row r="28" spans="1:52" s="2" customFormat="1" ht="14.25" customHeight="1" x14ac:dyDescent="0.35">
      <c r="A28" s="3"/>
      <c r="B28" s="4"/>
      <c r="C28" s="1"/>
      <c r="D28" s="1"/>
      <c r="E28" s="1"/>
      <c r="F28" s="1"/>
      <c r="G28" s="1"/>
      <c r="H28" s="1"/>
      <c r="I28" s="1"/>
      <c r="J28" s="1"/>
      <c r="K28" s="1"/>
      <c r="L28" s="1"/>
      <c r="M28" s="1"/>
      <c r="N28" s="1"/>
      <c r="O28" s="1"/>
      <c r="P28" s="1"/>
      <c r="Q28" s="1"/>
      <c r="R28" s="1"/>
      <c r="S28" s="1"/>
      <c r="T28" s="1"/>
      <c r="U28" s="1"/>
      <c r="V28" s="1"/>
      <c r="W28" s="1"/>
      <c r="X28" s="1"/>
      <c r="Y28" s="1"/>
      <c r="Z28" s="3"/>
      <c r="AA28" s="657"/>
      <c r="AB28" s="660"/>
      <c r="AC28" s="660"/>
      <c r="AD28" s="660"/>
      <c r="AE28" s="660"/>
      <c r="AF28" s="660"/>
      <c r="AG28" s="660"/>
      <c r="AH28" s="660"/>
      <c r="AI28" s="660"/>
      <c r="AJ28" s="657"/>
      <c r="AK28" s="657"/>
      <c r="AL28" s="657"/>
      <c r="AM28" s="657"/>
      <c r="AN28" s="657"/>
      <c r="AO28" s="657"/>
      <c r="AP28" s="657"/>
      <c r="AQ28" s="657"/>
      <c r="AR28" s="657"/>
      <c r="AS28" s="657"/>
      <c r="AT28" s="657"/>
      <c r="AU28" s="657"/>
      <c r="AV28" s="657"/>
      <c r="AW28" s="657"/>
      <c r="AX28" s="657"/>
      <c r="AY28" s="657"/>
      <c r="AZ28" s="657"/>
    </row>
    <row r="29" spans="1:52" s="2" customFormat="1" ht="14.25" customHeight="1" x14ac:dyDescent="0.35">
      <c r="A29" s="3"/>
      <c r="B29" s="4"/>
      <c r="C29" s="1"/>
      <c r="D29" s="1"/>
      <c r="E29" s="1"/>
      <c r="F29" s="1"/>
      <c r="G29" s="1"/>
      <c r="H29" s="1"/>
      <c r="I29" s="1"/>
      <c r="J29" s="1"/>
      <c r="K29" s="1"/>
      <c r="L29" s="1"/>
      <c r="M29" s="1"/>
      <c r="N29" s="1"/>
      <c r="O29" s="1"/>
      <c r="P29" s="1"/>
      <c r="Q29" s="1"/>
      <c r="R29" s="1"/>
      <c r="S29" s="1"/>
      <c r="T29" s="1"/>
      <c r="U29" s="1"/>
      <c r="V29" s="1"/>
      <c r="W29" s="1"/>
      <c r="X29" s="1"/>
      <c r="Y29" s="1"/>
      <c r="Z29" s="3"/>
      <c r="AA29" s="657"/>
      <c r="AB29" s="660"/>
      <c r="AC29" s="660"/>
      <c r="AD29" s="660"/>
      <c r="AE29" s="660"/>
      <c r="AF29" s="660"/>
      <c r="AG29" s="660"/>
      <c r="AH29" s="660"/>
      <c r="AI29" s="660"/>
      <c r="AJ29" s="657"/>
      <c r="AK29" s="657"/>
      <c r="AL29" s="657"/>
      <c r="AM29" s="657"/>
      <c r="AN29" s="657"/>
      <c r="AO29" s="657"/>
      <c r="AP29" s="657"/>
      <c r="AQ29" s="657"/>
      <c r="AR29" s="657"/>
      <c r="AS29" s="657"/>
      <c r="AT29" s="657"/>
      <c r="AU29" s="657"/>
      <c r="AV29" s="657"/>
      <c r="AW29" s="657"/>
      <c r="AX29" s="657"/>
      <c r="AY29" s="657"/>
      <c r="AZ29" s="657"/>
    </row>
    <row r="30" spans="1:52" s="2" customFormat="1" ht="14.25" customHeight="1" x14ac:dyDescent="0.35">
      <c r="A30" s="3"/>
      <c r="B30" s="4"/>
      <c r="C30" s="1"/>
      <c r="D30" s="1"/>
      <c r="E30" s="1"/>
      <c r="F30" s="1"/>
      <c r="G30" s="1"/>
      <c r="H30" s="1"/>
      <c r="I30" s="1"/>
      <c r="J30" s="1"/>
      <c r="K30" s="1"/>
      <c r="L30" s="1"/>
      <c r="M30" s="1"/>
      <c r="N30" s="1"/>
      <c r="O30" s="1"/>
      <c r="P30" s="1"/>
      <c r="Q30" s="1"/>
      <c r="R30" s="1"/>
      <c r="S30" s="1"/>
      <c r="T30" s="1"/>
      <c r="U30" s="1"/>
      <c r="V30" s="1"/>
      <c r="W30" s="1"/>
      <c r="X30" s="1"/>
      <c r="Y30" s="1"/>
      <c r="Z30" s="3"/>
      <c r="AA30" s="657"/>
      <c r="AB30" s="660"/>
      <c r="AC30" s="660"/>
      <c r="AD30" s="660"/>
      <c r="AE30" s="660"/>
      <c r="AF30" s="660"/>
      <c r="AG30" s="660"/>
      <c r="AH30" s="660"/>
      <c r="AI30" s="660"/>
      <c r="AJ30" s="657"/>
      <c r="AK30" s="657"/>
      <c r="AL30" s="657"/>
      <c r="AM30" s="657"/>
      <c r="AN30" s="657"/>
      <c r="AO30" s="657"/>
      <c r="AP30" s="657"/>
      <c r="AQ30" s="657"/>
      <c r="AR30" s="657"/>
      <c r="AS30" s="657"/>
      <c r="AT30" s="657"/>
      <c r="AU30" s="657"/>
      <c r="AV30" s="657"/>
      <c r="AW30" s="657"/>
      <c r="AX30" s="657"/>
      <c r="AY30" s="657"/>
      <c r="AZ30" s="657"/>
    </row>
    <row r="31" spans="1:52" ht="15" customHeight="1" x14ac:dyDescent="0.35">
      <c r="B31" s="39"/>
      <c r="C31" s="39"/>
      <c r="D31" s="39"/>
      <c r="E31" s="39"/>
      <c r="F31" s="39"/>
      <c r="G31" s="39"/>
      <c r="H31" s="39"/>
      <c r="I31" s="39"/>
      <c r="J31" s="39"/>
      <c r="K31" s="39"/>
      <c r="L31" s="39"/>
      <c r="M31" s="39"/>
      <c r="N31" s="39"/>
      <c r="O31" s="39"/>
      <c r="P31" s="39"/>
      <c r="Q31" s="39"/>
      <c r="R31" s="39"/>
      <c r="S31" s="39"/>
      <c r="T31" s="39"/>
      <c r="U31" s="39"/>
      <c r="V31" s="39"/>
      <c r="W31" s="39"/>
      <c r="X31" s="39"/>
      <c r="Y31" s="39"/>
      <c r="Z31" s="662" t="s">
        <v>762</v>
      </c>
      <c r="AA31" s="213"/>
      <c r="AB31" s="212"/>
    </row>
    <row r="32" spans="1:52" ht="15" customHeight="1" x14ac:dyDescent="0.35">
      <c r="B32" s="523" t="s">
        <v>569</v>
      </c>
      <c r="C32" s="500" t="s">
        <v>6</v>
      </c>
      <c r="D32" s="39"/>
      <c r="E32" s="818" t="s">
        <v>570</v>
      </c>
      <c r="F32" s="818"/>
      <c r="G32" s="500" t="s">
        <v>609</v>
      </c>
      <c r="H32" s="500" t="s">
        <v>120</v>
      </c>
      <c r="I32" s="39"/>
      <c r="J32" s="495" t="s">
        <v>611</v>
      </c>
      <c r="K32" s="500" t="s">
        <v>572</v>
      </c>
      <c r="L32" s="500" t="s">
        <v>573</v>
      </c>
      <c r="M32" s="39"/>
      <c r="N32" s="39"/>
      <c r="O32" s="522" t="s">
        <v>576</v>
      </c>
      <c r="P32" s="55" t="s">
        <v>351</v>
      </c>
      <c r="Q32" s="55" t="s">
        <v>60</v>
      </c>
      <c r="R32" s="39"/>
      <c r="S32" s="39"/>
      <c r="T32" s="39"/>
      <c r="U32" s="39"/>
      <c r="V32" s="39"/>
      <c r="W32" s="39"/>
      <c r="X32" s="39"/>
      <c r="Y32" s="39"/>
      <c r="Z32" s="39"/>
      <c r="AA32" s="213"/>
      <c r="AB32" s="212"/>
    </row>
    <row r="33" spans="2:28" ht="15" customHeight="1" x14ac:dyDescent="0.35">
      <c r="B33" s="521" t="s">
        <v>9</v>
      </c>
      <c r="C33" s="10">
        <v>20</v>
      </c>
      <c r="D33" s="39"/>
      <c r="E33" s="797" t="s">
        <v>617</v>
      </c>
      <c r="F33" s="798"/>
      <c r="G33" s="420">
        <f>Rehuntuotanto!I7</f>
        <v>9700</v>
      </c>
      <c r="H33" s="425">
        <f>C33*G33</f>
        <v>194000</v>
      </c>
      <c r="I33" s="39"/>
      <c r="J33" s="524" t="s">
        <v>9</v>
      </c>
      <c r="K33" s="422">
        <v>700</v>
      </c>
      <c r="L33" s="425">
        <f>(C33-Rehuntuotanto!E24)*K33</f>
        <v>14000</v>
      </c>
      <c r="M33" s="39"/>
      <c r="N33" s="39"/>
      <c r="O33" s="524" t="s">
        <v>9</v>
      </c>
      <c r="P33" s="425">
        <f>Rehuntuotanto!H7</f>
        <v>323.33333333333331</v>
      </c>
      <c r="Q33" s="426">
        <f>Rehuntuotanto!J7</f>
        <v>11.131958762886597</v>
      </c>
      <c r="R33" s="39"/>
      <c r="S33" s="39"/>
      <c r="T33" s="39"/>
      <c r="U33" s="39"/>
      <c r="V33" s="39"/>
      <c r="W33" s="39"/>
      <c r="X33" s="39"/>
      <c r="Y33" s="39"/>
      <c r="Z33" s="39"/>
      <c r="AA33" s="213"/>
      <c r="AB33" s="212"/>
    </row>
    <row r="34" spans="2:28" x14ac:dyDescent="0.35">
      <c r="B34" s="521" t="s">
        <v>10</v>
      </c>
      <c r="C34" s="10">
        <v>0</v>
      </c>
      <c r="D34" s="39"/>
      <c r="E34" s="797" t="s">
        <v>618</v>
      </c>
      <c r="F34" s="798"/>
      <c r="G34" s="420">
        <f>Rehuntuotanto!G29</f>
        <v>0</v>
      </c>
      <c r="H34" s="425">
        <f>C34*G34</f>
        <v>0</v>
      </c>
      <c r="I34" s="39"/>
      <c r="J34" s="524" t="s">
        <v>10</v>
      </c>
      <c r="K34" s="422">
        <v>0</v>
      </c>
      <c r="L34" s="425">
        <f>(C34-Rehuntuotanto!E34)*K34</f>
        <v>0</v>
      </c>
      <c r="M34" s="39"/>
      <c r="N34" s="39"/>
      <c r="O34" s="524" t="s">
        <v>10</v>
      </c>
      <c r="P34" s="425">
        <f>Rehuntuotanto!H29</f>
        <v>0</v>
      </c>
      <c r="Q34" s="426">
        <f>Rehuntuotanto!J29</f>
        <v>0</v>
      </c>
      <c r="R34" s="39"/>
      <c r="S34" s="39"/>
      <c r="T34" s="39"/>
      <c r="U34" s="39"/>
      <c r="V34" s="39"/>
      <c r="W34" s="39"/>
      <c r="X34" s="39"/>
      <c r="Y34" s="39"/>
      <c r="Z34" s="39"/>
      <c r="AA34" s="213"/>
      <c r="AB34" s="212"/>
    </row>
    <row r="35" spans="2:28" ht="15" customHeight="1" x14ac:dyDescent="0.35">
      <c r="B35" s="521" t="s">
        <v>48</v>
      </c>
      <c r="C35" s="10">
        <v>0</v>
      </c>
      <c r="D35" s="39"/>
      <c r="E35" s="797" t="s">
        <v>619</v>
      </c>
      <c r="F35" s="798"/>
      <c r="G35" s="420">
        <f>Rehuntuotanto!I36</f>
        <v>0</v>
      </c>
      <c r="H35" s="425">
        <f>C35*G35</f>
        <v>0</v>
      </c>
      <c r="I35" s="39"/>
      <c r="J35" s="524" t="s">
        <v>48</v>
      </c>
      <c r="K35" s="422">
        <v>700</v>
      </c>
      <c r="L35" s="425">
        <f>(C35-Rehuntuotanto!E41)*K35</f>
        <v>0</v>
      </c>
      <c r="M35" s="39"/>
      <c r="N35" s="39"/>
      <c r="O35" s="524" t="s">
        <v>48</v>
      </c>
      <c r="P35" s="425">
        <f>Rehuntuotanto!H36</f>
        <v>0</v>
      </c>
      <c r="Q35" s="426">
        <f>Rehuntuotanto!J36</f>
        <v>0</v>
      </c>
      <c r="R35" s="39"/>
      <c r="S35" s="39"/>
      <c r="T35" s="39"/>
      <c r="U35" s="39"/>
      <c r="V35" s="39"/>
      <c r="W35" s="39"/>
      <c r="X35" s="39"/>
      <c r="Y35" s="39"/>
      <c r="Z35" s="39"/>
      <c r="AA35" s="213"/>
      <c r="AB35" s="212"/>
    </row>
    <row r="36" spans="2:28" x14ac:dyDescent="0.35">
      <c r="B36" s="521" t="s">
        <v>46</v>
      </c>
      <c r="C36" s="10">
        <v>5</v>
      </c>
      <c r="D36" s="39"/>
      <c r="E36" s="797" t="s">
        <v>620</v>
      </c>
      <c r="F36" s="798"/>
      <c r="G36" s="420">
        <f>Rehuntuotanto!I43</f>
        <v>2000</v>
      </c>
      <c r="H36" s="425">
        <f>C36*G36</f>
        <v>10000</v>
      </c>
      <c r="I36" s="39"/>
      <c r="J36" s="524" t="s">
        <v>46</v>
      </c>
      <c r="K36" s="422">
        <v>700</v>
      </c>
      <c r="L36" s="425">
        <f>(C36-Rehuntuotanto!E48)*K36</f>
        <v>3500</v>
      </c>
      <c r="M36" s="39"/>
      <c r="N36" s="39"/>
      <c r="O36" s="524" t="s">
        <v>46</v>
      </c>
      <c r="P36" s="425">
        <f>Rehuntuotanto!H43</f>
        <v>200</v>
      </c>
      <c r="Q36" s="426">
        <f>Rehuntuotanto!J43</f>
        <v>11</v>
      </c>
      <c r="R36" s="39"/>
      <c r="S36" s="39"/>
      <c r="T36" s="39"/>
      <c r="U36" s="39"/>
      <c r="V36" s="39"/>
      <c r="W36" s="39"/>
      <c r="X36" s="39"/>
      <c r="Y36" s="39"/>
      <c r="Z36" s="39"/>
      <c r="AA36" s="213"/>
      <c r="AB36" s="212"/>
    </row>
    <row r="37" spans="2:28" ht="15" customHeight="1" x14ac:dyDescent="0.35">
      <c r="B37" s="521" t="s">
        <v>348</v>
      </c>
      <c r="C37" s="10">
        <v>4</v>
      </c>
      <c r="D37" s="39"/>
      <c r="E37" s="789" t="s">
        <v>571</v>
      </c>
      <c r="F37" s="789"/>
      <c r="G37" s="789"/>
      <c r="H37" s="789"/>
      <c r="I37" s="39"/>
      <c r="J37" s="524" t="s">
        <v>348</v>
      </c>
      <c r="K37" s="422">
        <v>700</v>
      </c>
      <c r="L37" s="425">
        <f>(C37-Rehuntuotanto!E55)*K37</f>
        <v>2800</v>
      </c>
      <c r="M37" s="39"/>
      <c r="N37" s="39"/>
      <c r="O37" s="524" t="s">
        <v>348</v>
      </c>
      <c r="P37" s="425">
        <f>Rehuntuotanto!H50</f>
        <v>860</v>
      </c>
      <c r="Q37" s="426">
        <f>Rehuntuotanto!J50</f>
        <v>10.5</v>
      </c>
      <c r="R37" s="39"/>
      <c r="S37" s="39"/>
      <c r="T37" s="39"/>
      <c r="U37" s="39"/>
      <c r="V37" s="39"/>
      <c r="W37" s="39"/>
      <c r="X37" s="39"/>
      <c r="Y37" s="39"/>
      <c r="Z37" s="39"/>
      <c r="AA37" s="213"/>
      <c r="AB37" s="212"/>
    </row>
    <row r="38" spans="2:28" ht="15.75" customHeight="1" thickBot="1" x14ac:dyDescent="0.4">
      <c r="B38" s="521" t="s">
        <v>14</v>
      </c>
      <c r="C38" s="427">
        <v>0</v>
      </c>
      <c r="D38" s="39"/>
      <c r="E38" s="799" t="s">
        <v>613</v>
      </c>
      <c r="F38" s="800"/>
      <c r="G38" s="795">
        <f>IF('Rehun käyttö, nettosato'!M15=0,0,ROUNDUP('Rehun käyttö, nettosato'!M18,-2))</f>
        <v>8200</v>
      </c>
      <c r="H38" s="787">
        <f>C33*G38</f>
        <v>164000</v>
      </c>
      <c r="I38" s="39"/>
      <c r="J38" s="524" t="s">
        <v>14</v>
      </c>
      <c r="K38" s="422">
        <v>600</v>
      </c>
      <c r="L38" s="425">
        <f>C38*K38</f>
        <v>0</v>
      </c>
      <c r="M38" s="39"/>
      <c r="N38" s="39"/>
      <c r="O38" s="802" t="s">
        <v>577</v>
      </c>
      <c r="P38" s="802"/>
      <c r="Q38" s="802"/>
      <c r="R38" s="39"/>
      <c r="S38" s="39"/>
      <c r="T38" s="39"/>
      <c r="U38" s="39"/>
      <c r="V38" s="39"/>
      <c r="W38" s="39"/>
      <c r="X38" s="39"/>
      <c r="Y38" s="39"/>
      <c r="Z38" s="39"/>
      <c r="AA38" s="213"/>
      <c r="AB38" s="212"/>
    </row>
    <row r="39" spans="2:28" ht="15" thickBot="1" x14ac:dyDescent="0.4">
      <c r="B39" s="39" t="s">
        <v>16</v>
      </c>
      <c r="C39" s="428">
        <f>SUM(C33:C38)</f>
        <v>29</v>
      </c>
      <c r="D39" s="39"/>
      <c r="E39" s="799"/>
      <c r="F39" s="800"/>
      <c r="G39" s="796"/>
      <c r="H39" s="788"/>
      <c r="I39" s="39"/>
      <c r="J39" s="39" t="s">
        <v>610</v>
      </c>
      <c r="K39" s="39"/>
      <c r="L39" s="187">
        <f>SUM(L33:L38)</f>
        <v>20300</v>
      </c>
      <c r="M39" s="39"/>
      <c r="N39" s="39"/>
      <c r="O39" s="39"/>
      <c r="P39" s="39"/>
      <c r="Q39" s="39"/>
      <c r="R39" s="39"/>
      <c r="S39" s="39"/>
      <c r="T39" s="39"/>
      <c r="U39" s="39"/>
      <c r="V39" s="39"/>
      <c r="W39" s="39"/>
      <c r="X39" s="39"/>
      <c r="Y39" s="39"/>
      <c r="Z39" s="39"/>
      <c r="AA39" s="213"/>
      <c r="AB39" s="212"/>
    </row>
    <row r="40" spans="2:28" x14ac:dyDescent="0.35">
      <c r="B40" s="506"/>
      <c r="C40" s="507"/>
      <c r="D40" s="39"/>
      <c r="E40" s="506"/>
      <c r="F40" s="506"/>
      <c r="G40" s="506"/>
      <c r="H40" s="508"/>
      <c r="I40" s="508"/>
      <c r="J40" s="506"/>
      <c r="K40" s="508"/>
      <c r="L40" s="506"/>
      <c r="M40" s="505"/>
      <c r="N40" s="39"/>
      <c r="O40" s="504"/>
      <c r="P40" s="504"/>
      <c r="Q40" s="505"/>
      <c r="R40" s="39"/>
      <c r="S40" s="39"/>
      <c r="T40" s="39"/>
      <c r="U40" s="39"/>
      <c r="V40" s="39"/>
      <c r="W40" s="39"/>
      <c r="X40" s="39"/>
      <c r="Y40" s="39"/>
      <c r="Z40" s="39"/>
      <c r="AA40" s="213"/>
      <c r="AB40" s="212"/>
    </row>
    <row r="41" spans="2:28" ht="18.75" customHeight="1" x14ac:dyDescent="0.35">
      <c r="B41" s="494" t="s">
        <v>574</v>
      </c>
      <c r="C41" s="500" t="s">
        <v>549</v>
      </c>
      <c r="D41" s="39"/>
      <c r="E41" s="496" t="s">
        <v>562</v>
      </c>
      <c r="F41" s="496"/>
      <c r="G41" s="500" t="s">
        <v>467</v>
      </c>
      <c r="H41" s="500" t="s">
        <v>615</v>
      </c>
      <c r="I41" s="39"/>
      <c r="J41" s="812" t="s">
        <v>575</v>
      </c>
      <c r="K41" s="812"/>
      <c r="L41" s="812"/>
      <c r="M41" s="500" t="s">
        <v>549</v>
      </c>
      <c r="N41" s="39"/>
      <c r="O41" s="805" t="s">
        <v>567</v>
      </c>
      <c r="P41" s="805"/>
      <c r="Q41" s="500" t="s">
        <v>552</v>
      </c>
      <c r="R41" s="39"/>
      <c r="S41" s="39"/>
      <c r="T41" s="39"/>
      <c r="U41" s="39"/>
      <c r="V41" s="39"/>
      <c r="W41" s="39"/>
      <c r="X41" s="39"/>
      <c r="Y41" s="39"/>
      <c r="Z41" s="39"/>
      <c r="AA41" s="213"/>
      <c r="AB41" s="212"/>
    </row>
    <row r="42" spans="2:28" ht="15" customHeight="1" x14ac:dyDescent="0.35">
      <c r="B42" s="521" t="s">
        <v>276</v>
      </c>
      <c r="C42" s="421">
        <v>1000</v>
      </c>
      <c r="D42" s="39"/>
      <c r="E42" s="797" t="s">
        <v>9</v>
      </c>
      <c r="F42" s="798"/>
      <c r="G42" s="423">
        <v>11</v>
      </c>
      <c r="H42" s="420">
        <f t="shared" ref="H42:H47" si="0">G42*C33</f>
        <v>220</v>
      </c>
      <c r="I42" s="39"/>
      <c r="J42" s="517" t="s">
        <v>695</v>
      </c>
      <c r="K42" s="776" t="s">
        <v>696</v>
      </c>
      <c r="L42" s="616">
        <v>15</v>
      </c>
      <c r="M42" s="422">
        <v>75000</v>
      </c>
      <c r="N42" s="39"/>
      <c r="O42" s="517" t="s">
        <v>9</v>
      </c>
      <c r="P42" s="518"/>
      <c r="Q42" s="617">
        <f>1-SUM(Q43:Q47)</f>
        <v>0.88139743694392292</v>
      </c>
      <c r="R42" s="39"/>
      <c r="S42" s="39"/>
      <c r="T42" s="39"/>
      <c r="U42" s="39"/>
      <c r="V42" s="39"/>
      <c r="W42" s="39"/>
      <c r="X42" s="39"/>
      <c r="Y42" s="39"/>
      <c r="Z42" s="39"/>
      <c r="AA42" s="213"/>
      <c r="AB42" s="212"/>
    </row>
    <row r="43" spans="2:28" ht="15" customHeight="1" x14ac:dyDescent="0.35">
      <c r="B43" s="521" t="s">
        <v>275</v>
      </c>
      <c r="C43" s="421">
        <v>6000</v>
      </c>
      <c r="D43" s="39"/>
      <c r="E43" s="797" t="s">
        <v>10</v>
      </c>
      <c r="F43" s="798"/>
      <c r="G43" s="423">
        <v>11</v>
      </c>
      <c r="H43" s="420">
        <f t="shared" si="0"/>
        <v>0</v>
      </c>
      <c r="I43" s="39"/>
      <c r="J43" s="517" t="s">
        <v>697</v>
      </c>
      <c r="K43" s="776" t="s">
        <v>696</v>
      </c>
      <c r="L43" s="616">
        <v>15</v>
      </c>
      <c r="M43" s="422">
        <v>200000</v>
      </c>
      <c r="N43" s="39"/>
      <c r="O43" s="517" t="s">
        <v>10</v>
      </c>
      <c r="P43" s="518"/>
      <c r="Q43" s="617">
        <f>IF($Q$48=0,0,'Säilörehun tuotantokustannus'!I18/$Q$48)*P48</f>
        <v>0</v>
      </c>
      <c r="R43" s="39"/>
      <c r="S43" s="39"/>
      <c r="T43" s="39"/>
      <c r="U43" s="39"/>
      <c r="V43" s="39"/>
      <c r="W43" s="39"/>
      <c r="X43" s="39"/>
      <c r="Y43" s="39"/>
      <c r="Z43" s="39"/>
      <c r="AA43" s="213"/>
      <c r="AB43" s="212"/>
    </row>
    <row r="44" spans="2:28" x14ac:dyDescent="0.35">
      <c r="B44" s="521" t="s">
        <v>274</v>
      </c>
      <c r="C44" s="421"/>
      <c r="D44" s="39"/>
      <c r="E44" s="797" t="s">
        <v>48</v>
      </c>
      <c r="F44" s="798"/>
      <c r="G44" s="423">
        <v>11</v>
      </c>
      <c r="H44" s="420">
        <f t="shared" si="0"/>
        <v>0</v>
      </c>
      <c r="I44" s="39"/>
      <c r="J44" s="797" t="s">
        <v>599</v>
      </c>
      <c r="K44" s="806"/>
      <c r="L44" s="798"/>
      <c r="M44" s="516">
        <f>IF(L42=0,0,M42/L42)</f>
        <v>5000</v>
      </c>
      <c r="N44" s="39"/>
      <c r="O44" s="517" t="s">
        <v>48</v>
      </c>
      <c r="P44" s="518"/>
      <c r="Q44" s="617">
        <f>IF($Q$48=0,0,'Säilörehun tuotantokustannus'!I19/$Q$48)*P48</f>
        <v>0</v>
      </c>
      <c r="R44" s="39"/>
      <c r="S44" s="39"/>
      <c r="T44" s="39"/>
      <c r="U44" s="39"/>
      <c r="V44" s="39"/>
      <c r="W44" s="39"/>
      <c r="X44" s="39"/>
      <c r="Y44" s="39"/>
      <c r="Z44" s="39"/>
      <c r="AA44" s="213"/>
      <c r="AB44" s="212"/>
    </row>
    <row r="45" spans="2:28" x14ac:dyDescent="0.35">
      <c r="B45" s="521" t="s">
        <v>273</v>
      </c>
      <c r="C45" s="421">
        <v>2500</v>
      </c>
      <c r="D45" s="39"/>
      <c r="E45" s="797" t="s">
        <v>46</v>
      </c>
      <c r="F45" s="798"/>
      <c r="G45" s="423">
        <v>11</v>
      </c>
      <c r="H45" s="420">
        <f t="shared" si="0"/>
        <v>55</v>
      </c>
      <c r="I45" s="39"/>
      <c r="J45" s="797" t="s">
        <v>600</v>
      </c>
      <c r="K45" s="806"/>
      <c r="L45" s="798"/>
      <c r="M45" s="516">
        <f>IF(L43=0,0,M43/L43)</f>
        <v>13333.333333333334</v>
      </c>
      <c r="N45" s="39"/>
      <c r="O45" s="517" t="s">
        <v>46</v>
      </c>
      <c r="P45" s="518"/>
      <c r="Q45" s="617">
        <f>IF($Q$48=0,0,'Säilörehun tuotantokustannus'!I20/$Q$48)*P48</f>
        <v>4.4894294343318909E-2</v>
      </c>
      <c r="R45" s="39"/>
      <c r="S45" s="39"/>
      <c r="T45" s="39"/>
      <c r="U45" s="39"/>
      <c r="V45" s="39"/>
      <c r="W45" s="39"/>
      <c r="X45" s="39"/>
      <c r="Y45" s="39"/>
      <c r="Z45" s="39"/>
      <c r="AA45" s="213"/>
      <c r="AB45" s="212"/>
    </row>
    <row r="46" spans="2:28" x14ac:dyDescent="0.35">
      <c r="B46" s="521" t="s">
        <v>272</v>
      </c>
      <c r="C46" s="421">
        <v>500</v>
      </c>
      <c r="D46" s="39"/>
      <c r="E46" s="797" t="s">
        <v>348</v>
      </c>
      <c r="F46" s="798"/>
      <c r="G46" s="423">
        <v>11</v>
      </c>
      <c r="H46" s="420">
        <f t="shared" si="0"/>
        <v>44</v>
      </c>
      <c r="I46" s="39"/>
      <c r="J46" s="39"/>
      <c r="K46" s="39"/>
      <c r="L46" s="39"/>
      <c r="M46" s="500" t="s">
        <v>549</v>
      </c>
      <c r="N46" s="39"/>
      <c r="O46" s="517" t="s">
        <v>348</v>
      </c>
      <c r="P46" s="518"/>
      <c r="Q46" s="617">
        <f>IF($Q$48=0,0,'Säilörehun tuotantokustannus'!I21/$Q$48)*P48</f>
        <v>7.3708268712758138E-2</v>
      </c>
      <c r="R46" s="39"/>
      <c r="S46" s="39"/>
      <c r="T46" s="39"/>
      <c r="U46" s="39"/>
      <c r="V46" s="39"/>
      <c r="W46" s="39"/>
      <c r="X46" s="39"/>
      <c r="Y46" s="39"/>
      <c r="Z46" s="39"/>
      <c r="AA46" s="213"/>
      <c r="AB46" s="212"/>
    </row>
    <row r="47" spans="2:28" ht="15" thickBot="1" x14ac:dyDescent="0.4">
      <c r="B47" s="521" t="s">
        <v>473</v>
      </c>
      <c r="C47" s="421">
        <v>2000</v>
      </c>
      <c r="D47" s="39"/>
      <c r="E47" s="797" t="s">
        <v>14</v>
      </c>
      <c r="F47" s="798"/>
      <c r="G47" s="423">
        <v>11</v>
      </c>
      <c r="H47" s="420">
        <f t="shared" si="0"/>
        <v>0</v>
      </c>
      <c r="I47" s="39"/>
      <c r="J47" s="797" t="s">
        <v>565</v>
      </c>
      <c r="K47" s="806"/>
      <c r="L47" s="798"/>
      <c r="M47" s="422">
        <v>1000</v>
      </c>
      <c r="N47" s="39"/>
      <c r="O47" s="517" t="s">
        <v>14</v>
      </c>
      <c r="P47" s="518"/>
      <c r="Q47" s="617">
        <f>IF(C39=0,0,C38/C39)</f>
        <v>0</v>
      </c>
      <c r="R47" s="39"/>
      <c r="S47" s="39"/>
      <c r="T47" s="39"/>
      <c r="U47" s="39"/>
      <c r="V47" s="39"/>
      <c r="W47" s="39"/>
      <c r="X47" s="39"/>
      <c r="Y47" s="39"/>
      <c r="Z47" s="39"/>
      <c r="AA47" s="213"/>
      <c r="AB47" s="212"/>
    </row>
    <row r="48" spans="2:28" ht="15" customHeight="1" thickBot="1" x14ac:dyDescent="0.4">
      <c r="B48" s="521" t="s">
        <v>747</v>
      </c>
      <c r="C48" s="421"/>
      <c r="D48" s="39"/>
      <c r="E48" s="790" t="s">
        <v>616</v>
      </c>
      <c r="F48" s="790"/>
      <c r="G48" s="791"/>
      <c r="H48" s="191">
        <f>SUM(H42:H47)</f>
        <v>319</v>
      </c>
      <c r="I48" s="39"/>
      <c r="J48" s="797" t="s">
        <v>566</v>
      </c>
      <c r="K48" s="806"/>
      <c r="L48" s="798"/>
      <c r="M48" s="422">
        <v>1500</v>
      </c>
      <c r="N48" s="39"/>
      <c r="O48" s="39"/>
      <c r="P48" s="526">
        <f>1-Q47</f>
        <v>1</v>
      </c>
      <c r="Q48" s="220">
        <f>SUM('Rehun käyttö, nettosato'!I17:I21)</f>
        <v>2450200</v>
      </c>
      <c r="R48" s="39"/>
      <c r="S48" s="39"/>
      <c r="T48" s="39"/>
      <c r="U48" s="39"/>
      <c r="V48" s="39"/>
      <c r="W48" s="39"/>
      <c r="X48" s="39"/>
      <c r="Y48" s="39"/>
      <c r="Z48" s="39"/>
      <c r="AA48" s="213"/>
      <c r="AB48" s="212"/>
    </row>
    <row r="49" spans="2:28" ht="15" customHeight="1" x14ac:dyDescent="0.35">
      <c r="B49" s="521" t="s">
        <v>748</v>
      </c>
      <c r="C49" s="421"/>
      <c r="D49" s="39"/>
      <c r="E49" s="792" t="s">
        <v>623</v>
      </c>
      <c r="F49" s="793"/>
      <c r="G49" s="794"/>
      <c r="H49" s="421"/>
      <c r="I49" s="39"/>
      <c r="J49" s="39"/>
      <c r="K49" s="39"/>
      <c r="L49" s="39"/>
      <c r="M49" s="39"/>
      <c r="N49" s="39"/>
      <c r="O49" s="803" t="s">
        <v>568</v>
      </c>
      <c r="P49" s="803"/>
      <c r="Q49" s="803"/>
      <c r="R49" s="39"/>
      <c r="S49" s="39"/>
      <c r="T49" s="39"/>
      <c r="U49" s="39"/>
      <c r="V49" s="39"/>
      <c r="W49" s="39"/>
      <c r="X49" s="39"/>
      <c r="Y49" s="39"/>
      <c r="Z49" s="39"/>
      <c r="AA49" s="213"/>
      <c r="AB49" s="212"/>
    </row>
    <row r="50" spans="2:28" ht="15" customHeight="1" x14ac:dyDescent="0.35">
      <c r="B50" s="521" t="s">
        <v>746</v>
      </c>
      <c r="C50" s="421"/>
      <c r="D50" s="39"/>
      <c r="E50" s="792" t="s">
        <v>624</v>
      </c>
      <c r="F50" s="793"/>
      <c r="G50" s="794"/>
      <c r="H50" s="421"/>
      <c r="I50" s="39"/>
      <c r="J50" s="797" t="s">
        <v>601</v>
      </c>
      <c r="K50" s="806"/>
      <c r="L50" s="798"/>
      <c r="M50" s="422">
        <v>10000</v>
      </c>
      <c r="N50" s="39"/>
      <c r="O50" s="801" t="s">
        <v>728</v>
      </c>
      <c r="P50" s="801"/>
      <c r="Q50" s="801"/>
      <c r="R50" s="39"/>
      <c r="S50" s="39"/>
      <c r="T50" s="39"/>
      <c r="U50" s="39"/>
      <c r="V50" s="39"/>
      <c r="W50" s="39"/>
      <c r="X50" s="39"/>
      <c r="Y50" s="39"/>
      <c r="Z50" s="39"/>
      <c r="AA50" s="213"/>
      <c r="AB50" s="212"/>
    </row>
    <row r="51" spans="2:28" x14ac:dyDescent="0.35">
      <c r="B51" s="521" t="s">
        <v>729</v>
      </c>
      <c r="C51" s="421"/>
      <c r="D51" s="39"/>
      <c r="E51" s="39"/>
      <c r="F51" s="39"/>
      <c r="G51" s="39"/>
      <c r="H51" s="39"/>
      <c r="I51" s="39"/>
      <c r="J51" s="39"/>
      <c r="K51" s="39"/>
      <c r="L51" s="39"/>
      <c r="M51" s="39"/>
      <c r="N51" s="39"/>
      <c r="O51" s="39"/>
      <c r="P51" s="39"/>
      <c r="Q51" s="39"/>
      <c r="R51" s="39"/>
      <c r="S51" s="39"/>
      <c r="T51" s="39"/>
      <c r="U51" s="39"/>
      <c r="V51" s="39"/>
      <c r="W51" s="39"/>
      <c r="X51" s="39"/>
      <c r="Y51" s="39"/>
      <c r="Z51" s="39"/>
      <c r="AA51" s="213"/>
      <c r="AB51" s="212"/>
    </row>
    <row r="52" spans="2:28" x14ac:dyDescent="0.35">
      <c r="B52" s="4"/>
      <c r="C52" s="4"/>
      <c r="D52" s="4"/>
      <c r="E52" s="4"/>
      <c r="F52" s="4"/>
      <c r="G52" s="4"/>
      <c r="H52" s="4"/>
      <c r="I52" s="39"/>
      <c r="J52" s="39"/>
      <c r="K52" s="39"/>
      <c r="L52" s="39"/>
      <c r="M52" s="39"/>
      <c r="N52" s="39"/>
      <c r="O52" s="39"/>
      <c r="P52" s="39"/>
      <c r="Q52" s="39"/>
      <c r="R52" s="39"/>
      <c r="S52" s="39"/>
      <c r="T52" s="39"/>
      <c r="U52" s="39"/>
      <c r="V52" s="39"/>
      <c r="W52" s="39"/>
      <c r="X52" s="39"/>
      <c r="Y52" s="39"/>
      <c r="Z52" s="39"/>
      <c r="AA52" s="213"/>
      <c r="AB52" s="212"/>
    </row>
    <row r="53" spans="2:28" x14ac:dyDescent="0.35">
      <c r="B53" s="4"/>
      <c r="C53" s="4"/>
      <c r="D53" s="4"/>
      <c r="E53" s="4"/>
      <c r="F53" s="4"/>
      <c r="G53" s="4"/>
      <c r="H53" s="4"/>
      <c r="I53" s="39"/>
      <c r="J53" s="39"/>
      <c r="K53" s="39"/>
      <c r="L53" s="39"/>
      <c r="M53" s="39"/>
      <c r="N53" s="39"/>
      <c r="O53" s="39"/>
      <c r="P53" s="39"/>
      <c r="Q53" s="39"/>
      <c r="R53" s="39"/>
      <c r="S53" s="39"/>
      <c r="T53" s="39"/>
      <c r="U53" s="39"/>
      <c r="V53" s="39"/>
      <c r="W53" s="39"/>
      <c r="X53" s="39"/>
      <c r="Y53" s="39"/>
      <c r="Z53" s="39"/>
      <c r="AA53" s="213"/>
      <c r="AB53" s="212"/>
    </row>
    <row r="54" spans="2:28" x14ac:dyDescent="0.35">
      <c r="B54" s="4"/>
      <c r="C54" s="4"/>
      <c r="D54" s="4"/>
      <c r="E54" s="4"/>
      <c r="F54" s="4"/>
      <c r="G54" s="4"/>
      <c r="H54" s="4"/>
      <c r="I54" s="39"/>
      <c r="J54" s="39"/>
      <c r="K54" s="39"/>
      <c r="L54" s="39"/>
      <c r="M54" s="39"/>
      <c r="N54" s="39"/>
      <c r="O54" s="39"/>
      <c r="P54" s="39"/>
      <c r="Q54" s="39"/>
      <c r="R54" s="39"/>
      <c r="S54" s="39"/>
      <c r="T54" s="39"/>
      <c r="U54" s="39"/>
      <c r="V54" s="39"/>
      <c r="W54" s="39"/>
      <c r="X54" s="39"/>
      <c r="Y54" s="39"/>
      <c r="Z54" s="39"/>
      <c r="AA54" s="213"/>
      <c r="AB54" s="212"/>
    </row>
    <row r="55" spans="2:28" x14ac:dyDescent="0.35">
      <c r="B55" s="4"/>
      <c r="C55" s="4"/>
      <c r="D55" s="4"/>
      <c r="E55" s="4"/>
      <c r="F55" s="4"/>
      <c r="G55" s="4"/>
      <c r="H55" s="4"/>
      <c r="I55" s="39"/>
      <c r="J55" s="39"/>
      <c r="K55" s="39"/>
      <c r="L55" s="39"/>
      <c r="M55" s="39"/>
      <c r="N55" s="39"/>
      <c r="O55" s="39"/>
      <c r="P55" s="39"/>
      <c r="Q55" s="39"/>
      <c r="R55" s="39"/>
      <c r="S55" s="39"/>
      <c r="T55" s="39"/>
      <c r="U55" s="39"/>
      <c r="V55" s="39"/>
      <c r="W55" s="39"/>
      <c r="X55" s="39"/>
      <c r="Y55" s="39"/>
      <c r="Z55" s="39"/>
      <c r="AA55" s="213"/>
      <c r="AB55" s="212"/>
    </row>
    <row r="56" spans="2:28" x14ac:dyDescent="0.35">
      <c r="B56" s="39"/>
      <c r="C56" s="39"/>
      <c r="D56" s="39"/>
      <c r="E56" s="221">
        <f>H48</f>
        <v>319</v>
      </c>
      <c r="F56" s="221">
        <f>H23</f>
        <v>1825</v>
      </c>
      <c r="G56" s="221">
        <f>L39+'Rehun käyttö, nettosato'!F31+'Rehun käyttö, nettosato'!F32+'Rehun käyttö, nettosato'!F33</f>
        <v>20300</v>
      </c>
      <c r="H56" s="221">
        <f>(L13+P13+Q15+Q16)</f>
        <v>103072</v>
      </c>
      <c r="I56" s="39"/>
      <c r="J56" s="39"/>
      <c r="K56" s="39"/>
      <c r="L56" s="39"/>
      <c r="M56" s="39"/>
      <c r="N56" s="39"/>
      <c r="O56" s="39"/>
      <c r="P56" s="39"/>
      <c r="Q56" s="39"/>
      <c r="R56" s="39"/>
      <c r="S56" s="39"/>
      <c r="T56" s="39"/>
      <c r="U56" s="39"/>
      <c r="V56" s="39"/>
      <c r="W56" s="39"/>
      <c r="X56" s="39"/>
      <c r="Y56" s="39"/>
      <c r="Z56" s="39"/>
      <c r="AA56" s="213"/>
      <c r="AB56" s="212"/>
    </row>
    <row r="57" spans="2:28" ht="26" x14ac:dyDescent="0.35">
      <c r="B57" s="496" t="s">
        <v>730</v>
      </c>
      <c r="C57" s="500" t="s">
        <v>549</v>
      </c>
      <c r="D57" s="645"/>
      <c r="E57" s="646" t="s">
        <v>737</v>
      </c>
      <c r="F57" s="294" t="s">
        <v>738</v>
      </c>
      <c r="G57" s="778" t="s">
        <v>740</v>
      </c>
      <c r="H57" s="778" t="s">
        <v>741</v>
      </c>
      <c r="I57" s="39"/>
      <c r="J57" s="39"/>
      <c r="K57" s="39"/>
      <c r="L57" s="39"/>
      <c r="M57" s="39"/>
      <c r="N57" s="39"/>
      <c r="O57" s="39"/>
      <c r="P57" s="39"/>
      <c r="Q57" s="39"/>
      <c r="R57" s="39"/>
      <c r="S57" s="39"/>
      <c r="T57" s="39"/>
      <c r="U57" s="39"/>
      <c r="V57" s="39"/>
      <c r="W57" s="39"/>
      <c r="X57" s="39"/>
      <c r="Y57" s="39"/>
      <c r="Z57" s="39"/>
      <c r="AA57" s="213"/>
      <c r="AB57" s="212"/>
    </row>
    <row r="58" spans="2:28" x14ac:dyDescent="0.35">
      <c r="B58" s="521" t="s">
        <v>731</v>
      </c>
      <c r="C58" s="421">
        <v>1500</v>
      </c>
      <c r="D58" s="39"/>
      <c r="E58" s="420">
        <f>$C58*G58</f>
        <v>246.81451220698375</v>
      </c>
      <c r="F58" s="420">
        <f>$C58*H58</f>
        <v>1253.1854877930164</v>
      </c>
      <c r="G58" s="648">
        <f>IF(($G$56+$H$56)=0,0,G$56/($G$56+$H$56))</f>
        <v>0.16454300813798917</v>
      </c>
      <c r="H58" s="649">
        <f>IF(($G$56+$H$56)=0,0,H$56/($G$56+$H$56))</f>
        <v>0.83545699186201083</v>
      </c>
      <c r="I58" s="39"/>
      <c r="J58" s="39"/>
      <c r="K58" s="39"/>
      <c r="L58" s="39"/>
      <c r="M58" s="39"/>
      <c r="N58" s="39"/>
      <c r="O58" s="39"/>
      <c r="P58" s="39"/>
      <c r="Q58" s="39"/>
      <c r="R58" s="39"/>
      <c r="S58" s="39"/>
      <c r="T58" s="39"/>
      <c r="U58" s="39"/>
      <c r="V58" s="39"/>
      <c r="W58" s="39"/>
      <c r="X58" s="39"/>
      <c r="Y58" s="39"/>
      <c r="Z58" s="39"/>
      <c r="AA58" s="213"/>
      <c r="AB58" s="212"/>
    </row>
    <row r="59" spans="2:28" x14ac:dyDescent="0.35">
      <c r="B59" s="521" t="s">
        <v>732</v>
      </c>
      <c r="C59" s="421">
        <v>5500</v>
      </c>
      <c r="D59" s="39"/>
      <c r="E59" s="420">
        <f t="shared" ref="E59:E66" si="1">$C59*G59</f>
        <v>818.33022388059703</v>
      </c>
      <c r="F59" s="420">
        <f t="shared" ref="F59:F66" si="2">$C59*H59</f>
        <v>4681.6697761194027</v>
      </c>
      <c r="G59" s="648">
        <f>IF(($E$56+$F$56)=0,0,E$56/($E$56+$F$56))</f>
        <v>0.14878731343283583</v>
      </c>
      <c r="H59" s="649">
        <f>IF(($E$56+$F$56)=0,0,F$56/($E$56+$F$56))</f>
        <v>0.8512126865671642</v>
      </c>
      <c r="I59" s="39"/>
      <c r="J59" s="39"/>
      <c r="K59" s="39"/>
      <c r="L59" s="39"/>
      <c r="M59" s="39"/>
      <c r="N59" s="39"/>
      <c r="O59" s="39"/>
      <c r="P59" s="39"/>
      <c r="Q59" s="39"/>
      <c r="R59" s="39"/>
      <c r="S59" s="39"/>
      <c r="T59" s="39"/>
      <c r="U59" s="39"/>
      <c r="V59" s="39"/>
      <c r="W59" s="39"/>
      <c r="X59" s="39"/>
      <c r="Y59" s="39"/>
      <c r="Z59" s="39"/>
      <c r="AA59" s="213"/>
      <c r="AB59" s="212"/>
    </row>
    <row r="60" spans="2:28" x14ac:dyDescent="0.35">
      <c r="B60" s="521" t="s">
        <v>733</v>
      </c>
      <c r="C60" s="421">
        <v>6000</v>
      </c>
      <c r="D60" s="39"/>
      <c r="E60" s="420">
        <f t="shared" si="1"/>
        <v>987.258048827935</v>
      </c>
      <c r="F60" s="420">
        <f t="shared" si="2"/>
        <v>5012.7419511720655</v>
      </c>
      <c r="G60" s="648">
        <f>G$58</f>
        <v>0.16454300813798917</v>
      </c>
      <c r="H60" s="649">
        <f>H$58</f>
        <v>0.83545699186201083</v>
      </c>
      <c r="I60" s="39"/>
      <c r="J60" s="39"/>
      <c r="K60" s="39"/>
      <c r="L60" s="39"/>
      <c r="M60" s="39"/>
      <c r="N60" s="39"/>
      <c r="O60" s="39"/>
      <c r="P60" s="39"/>
      <c r="Q60" s="39"/>
      <c r="R60" s="39"/>
      <c r="S60" s="39"/>
      <c r="T60" s="39"/>
      <c r="U60" s="39"/>
      <c r="V60" s="39"/>
      <c r="W60" s="39"/>
      <c r="X60" s="39"/>
      <c r="Y60" s="39"/>
      <c r="Z60" s="39"/>
      <c r="AA60" s="213"/>
      <c r="AB60" s="212"/>
    </row>
    <row r="61" spans="2:28" x14ac:dyDescent="0.35">
      <c r="B61" s="521" t="s">
        <v>734</v>
      </c>
      <c r="C61" s="421"/>
      <c r="D61" s="39"/>
      <c r="E61" s="420">
        <f t="shared" si="1"/>
        <v>0</v>
      </c>
      <c r="F61" s="420">
        <f t="shared" si="2"/>
        <v>0</v>
      </c>
      <c r="G61" s="648">
        <f t="shared" ref="G61:H66" si="3">G$58</f>
        <v>0.16454300813798917</v>
      </c>
      <c r="H61" s="649">
        <f t="shared" si="3"/>
        <v>0.83545699186201083</v>
      </c>
      <c r="I61" s="39"/>
      <c r="J61" s="39"/>
      <c r="K61" s="39"/>
      <c r="L61" s="39"/>
      <c r="M61" s="39"/>
      <c r="N61" s="39"/>
      <c r="O61" s="39"/>
      <c r="P61" s="39"/>
      <c r="Q61" s="39"/>
      <c r="R61" s="39"/>
      <c r="S61" s="39"/>
      <c r="T61" s="39"/>
      <c r="U61" s="39"/>
      <c r="V61" s="39"/>
      <c r="W61" s="39"/>
      <c r="X61" s="39"/>
      <c r="Y61" s="39"/>
      <c r="Z61" s="39"/>
      <c r="AA61" s="213"/>
      <c r="AB61" s="212"/>
    </row>
    <row r="62" spans="2:28" x14ac:dyDescent="0.35">
      <c r="B62" s="521" t="s">
        <v>735</v>
      </c>
      <c r="C62" s="421">
        <v>1000</v>
      </c>
      <c r="D62" s="39"/>
      <c r="E62" s="420">
        <f t="shared" si="1"/>
        <v>164.54300813798918</v>
      </c>
      <c r="F62" s="420">
        <f t="shared" si="2"/>
        <v>835.4569918620108</v>
      </c>
      <c r="G62" s="648">
        <f t="shared" si="3"/>
        <v>0.16454300813798917</v>
      </c>
      <c r="H62" s="649">
        <f t="shared" si="3"/>
        <v>0.83545699186201083</v>
      </c>
      <c r="I62" s="39"/>
      <c r="J62" s="39"/>
      <c r="K62" s="39"/>
      <c r="L62" s="39"/>
      <c r="M62" s="39"/>
      <c r="N62" s="39"/>
      <c r="O62" s="39"/>
      <c r="P62" s="39"/>
      <c r="Q62" s="39"/>
      <c r="R62" s="39"/>
      <c r="S62" s="39"/>
      <c r="T62" s="39"/>
      <c r="U62" s="39"/>
      <c r="V62" s="39"/>
      <c r="W62" s="39"/>
      <c r="X62" s="39"/>
      <c r="Y62" s="39"/>
      <c r="Z62" s="39"/>
      <c r="AA62" s="213"/>
      <c r="AB62" s="212"/>
    </row>
    <row r="63" spans="2:28" x14ac:dyDescent="0.35">
      <c r="B63" s="521" t="s">
        <v>763</v>
      </c>
      <c r="C63" s="421">
        <v>800</v>
      </c>
      <c r="D63" s="39"/>
      <c r="E63" s="420">
        <f t="shared" si="1"/>
        <v>500</v>
      </c>
      <c r="F63" s="420">
        <f t="shared" si="2"/>
        <v>299.99999999999994</v>
      </c>
      <c r="G63" s="648">
        <f>IF(($M$45+$M$22)=0,0,M$45/($M$45+$M$22))</f>
        <v>0.625</v>
      </c>
      <c r="H63" s="649">
        <f>IF(($M$45+$M$22)=0,0,M$22/($M$45+$M$22))</f>
        <v>0.37499999999999994</v>
      </c>
      <c r="I63" s="39"/>
      <c r="J63" s="39"/>
      <c r="K63" s="39"/>
      <c r="L63" s="39"/>
      <c r="M63" s="39"/>
      <c r="N63" s="39"/>
      <c r="O63" s="39"/>
      <c r="P63" s="39"/>
      <c r="Q63" s="39"/>
      <c r="R63" s="39"/>
      <c r="S63" s="39"/>
      <c r="T63" s="39"/>
      <c r="U63" s="39"/>
      <c r="V63" s="39"/>
      <c r="W63" s="39"/>
      <c r="X63" s="39"/>
      <c r="Y63" s="39"/>
      <c r="Z63" s="39"/>
      <c r="AA63" s="213"/>
      <c r="AB63" s="212"/>
    </row>
    <row r="64" spans="2:28" x14ac:dyDescent="0.35">
      <c r="B64" s="644"/>
      <c r="C64" s="421"/>
      <c r="D64" s="39"/>
      <c r="E64" s="420">
        <f t="shared" si="1"/>
        <v>0</v>
      </c>
      <c r="F64" s="420">
        <f t="shared" si="2"/>
        <v>0</v>
      </c>
      <c r="G64" s="648">
        <f t="shared" si="3"/>
        <v>0.16454300813798917</v>
      </c>
      <c r="H64" s="649">
        <f t="shared" si="3"/>
        <v>0.83545699186201083</v>
      </c>
      <c r="I64" s="39"/>
      <c r="J64" s="39"/>
      <c r="K64" s="39"/>
      <c r="L64" s="39"/>
      <c r="M64" s="39"/>
      <c r="N64" s="39"/>
      <c r="O64" s="39"/>
      <c r="P64" s="39"/>
      <c r="Q64" s="39"/>
      <c r="R64" s="39"/>
      <c r="S64" s="39"/>
      <c r="T64" s="39"/>
      <c r="U64" s="39"/>
      <c r="V64" s="39"/>
      <c r="W64" s="39"/>
      <c r="X64" s="39"/>
      <c r="Y64" s="39"/>
      <c r="Z64" s="39"/>
      <c r="AA64" s="213"/>
      <c r="AB64" s="212"/>
    </row>
    <row r="65" spans="2:52" x14ac:dyDescent="0.35">
      <c r="B65" s="644"/>
      <c r="C65" s="421"/>
      <c r="D65" s="39"/>
      <c r="E65" s="420">
        <f t="shared" si="1"/>
        <v>0</v>
      </c>
      <c r="F65" s="420">
        <f t="shared" si="2"/>
        <v>0</v>
      </c>
      <c r="G65" s="648">
        <f t="shared" si="3"/>
        <v>0.16454300813798917</v>
      </c>
      <c r="H65" s="649">
        <f t="shared" si="3"/>
        <v>0.83545699186201083</v>
      </c>
      <c r="I65" s="39"/>
      <c r="J65" s="39"/>
      <c r="K65" s="39"/>
      <c r="L65" s="39"/>
      <c r="M65" s="39"/>
      <c r="N65" s="39"/>
      <c r="O65" s="39"/>
      <c r="P65" s="39"/>
      <c r="Q65" s="39"/>
      <c r="R65" s="39"/>
      <c r="S65" s="39"/>
      <c r="T65" s="39"/>
      <c r="U65" s="39"/>
      <c r="V65" s="39"/>
      <c r="W65" s="39"/>
      <c r="X65" s="39"/>
      <c r="Y65" s="39"/>
      <c r="Z65" s="39"/>
      <c r="AA65" s="213"/>
      <c r="AB65" s="212"/>
    </row>
    <row r="66" spans="2:52" ht="15" thickBot="1" x14ac:dyDescent="0.4">
      <c r="B66" s="644" t="s">
        <v>766</v>
      </c>
      <c r="C66" s="421"/>
      <c r="D66" s="39"/>
      <c r="E66" s="420">
        <f t="shared" si="1"/>
        <v>0</v>
      </c>
      <c r="F66" s="420">
        <f t="shared" si="2"/>
        <v>0</v>
      </c>
      <c r="G66" s="648">
        <f t="shared" si="3"/>
        <v>0.16454300813798917</v>
      </c>
      <c r="H66" s="649">
        <f t="shared" si="3"/>
        <v>0.83545699186201083</v>
      </c>
      <c r="I66" s="39"/>
      <c r="J66" s="39"/>
      <c r="K66" s="39"/>
      <c r="L66" s="39"/>
      <c r="M66" s="39"/>
      <c r="N66" s="39"/>
      <c r="O66" s="39"/>
      <c r="P66" s="39"/>
      <c r="Q66" s="39"/>
      <c r="R66" s="39"/>
      <c r="S66" s="39"/>
      <c r="T66" s="39"/>
      <c r="U66" s="39"/>
      <c r="V66" s="39"/>
      <c r="W66" s="39"/>
      <c r="X66" s="39"/>
      <c r="Y66" s="39"/>
      <c r="Z66" s="39"/>
      <c r="AA66" s="213"/>
      <c r="AB66" s="212"/>
    </row>
    <row r="67" spans="2:52" ht="15" thickBot="1" x14ac:dyDescent="0.4">
      <c r="B67" s="521" t="s">
        <v>736</v>
      </c>
      <c r="C67" s="191">
        <f>SUM(C58:C66)</f>
        <v>14800</v>
      </c>
      <c r="D67" s="39"/>
      <c r="E67" s="191">
        <f>SUM(E58:E66)</f>
        <v>2716.945793053505</v>
      </c>
      <c r="F67" s="191">
        <f>SUM(F58:F66)</f>
        <v>12083.054206946495</v>
      </c>
      <c r="G67" s="647"/>
      <c r="H67" s="647"/>
      <c r="I67" s="39"/>
      <c r="J67" s="39"/>
      <c r="K67" s="39"/>
      <c r="L67" s="39"/>
      <c r="M67" s="39"/>
      <c r="N67" s="39"/>
      <c r="O67" s="39"/>
      <c r="P67" s="39"/>
      <c r="Q67" s="39"/>
      <c r="R67" s="39"/>
      <c r="S67" s="39"/>
      <c r="T67" s="39"/>
      <c r="U67" s="39"/>
      <c r="V67" s="39"/>
      <c r="W67" s="39"/>
      <c r="X67" s="39"/>
      <c r="Y67" s="39"/>
      <c r="Z67" s="39"/>
      <c r="AA67" s="213"/>
      <c r="AB67" s="212"/>
    </row>
    <row r="68" spans="2:52" x14ac:dyDescent="0.35">
      <c r="B68" s="650" t="s">
        <v>739</v>
      </c>
      <c r="C68" s="652">
        <f>IF(($G56+$H56)=0,0,C67/($G56+$H56))</f>
        <v>0.11996239016956846</v>
      </c>
      <c r="D68" s="651"/>
      <c r="E68" s="652">
        <f>IF($G56=0,0,E67/$G56)</f>
        <v>0.13383969423908892</v>
      </c>
      <c r="F68" s="652">
        <f>IF($H56=0,0,F67/$H56)</f>
        <v>0.11722925922604098</v>
      </c>
      <c r="G68" s="39"/>
      <c r="H68" s="39"/>
      <c r="I68" s="39"/>
      <c r="J68" s="39"/>
      <c r="K68" s="39"/>
      <c r="L68" s="39"/>
      <c r="M68" s="39"/>
      <c r="N68" s="39"/>
      <c r="O68" s="39"/>
      <c r="P68" s="39"/>
      <c r="Q68" s="39"/>
      <c r="R68" s="39"/>
      <c r="S68" s="39"/>
      <c r="T68" s="39"/>
      <c r="U68" s="39"/>
      <c r="V68" s="39"/>
      <c r="W68" s="39"/>
      <c r="X68" s="39"/>
      <c r="Y68" s="39"/>
      <c r="Z68" s="39"/>
      <c r="AA68" s="213"/>
      <c r="AB68" s="212"/>
    </row>
    <row r="69" spans="2:52" s="49" customFormat="1" x14ac:dyDescent="0.35">
      <c r="X69" s="212"/>
      <c r="AA69" s="213"/>
      <c r="AB69" s="212"/>
      <c r="AC69" s="212"/>
      <c r="AD69" s="212"/>
      <c r="AE69" s="212"/>
      <c r="AF69" s="212"/>
      <c r="AG69" s="212"/>
      <c r="AH69" s="212"/>
      <c r="AI69" s="212"/>
      <c r="AJ69" s="213"/>
      <c r="AK69" s="213"/>
      <c r="AL69" s="213"/>
      <c r="AM69" s="213"/>
      <c r="AN69" s="213"/>
      <c r="AO69" s="213"/>
      <c r="AP69" s="213"/>
      <c r="AQ69" s="213"/>
      <c r="AR69" s="213"/>
      <c r="AS69" s="213"/>
      <c r="AT69" s="213"/>
      <c r="AU69" s="213"/>
      <c r="AV69" s="213"/>
      <c r="AW69" s="213"/>
      <c r="AX69" s="213"/>
      <c r="AY69" s="213"/>
      <c r="AZ69" s="213"/>
    </row>
    <row r="70" spans="2:52" s="49" customFormat="1" x14ac:dyDescent="0.35">
      <c r="X70" s="213"/>
      <c r="AA70" s="213"/>
      <c r="AB70" s="212"/>
      <c r="AC70" s="212"/>
      <c r="AD70" s="212"/>
      <c r="AE70" s="212"/>
      <c r="AF70" s="212"/>
      <c r="AG70" s="212"/>
      <c r="AH70" s="212"/>
      <c r="AI70" s="212"/>
      <c r="AJ70" s="213"/>
      <c r="AK70" s="213"/>
      <c r="AL70" s="213"/>
      <c r="AM70" s="213"/>
      <c r="AN70" s="213"/>
      <c r="AO70" s="213"/>
      <c r="AP70" s="213"/>
      <c r="AQ70" s="213"/>
      <c r="AR70" s="213"/>
      <c r="AS70" s="213"/>
      <c r="AT70" s="213"/>
      <c r="AU70" s="213"/>
      <c r="AV70" s="213"/>
      <c r="AW70" s="213"/>
      <c r="AX70" s="213"/>
      <c r="AY70" s="213"/>
      <c r="AZ70" s="213"/>
    </row>
    <row r="71" spans="2:52" s="49" customFormat="1" x14ac:dyDescent="0.35">
      <c r="X71" s="213"/>
      <c r="AA71" s="213"/>
      <c r="AB71" s="212"/>
      <c r="AC71" s="212"/>
      <c r="AD71" s="212"/>
      <c r="AE71" s="212"/>
      <c r="AF71" s="212"/>
      <c r="AG71" s="212"/>
      <c r="AH71" s="212"/>
      <c r="AI71" s="212"/>
      <c r="AJ71" s="213"/>
      <c r="AK71" s="213"/>
      <c r="AL71" s="213"/>
      <c r="AM71" s="213"/>
      <c r="AN71" s="213"/>
      <c r="AO71" s="213"/>
      <c r="AP71" s="213"/>
      <c r="AQ71" s="213"/>
      <c r="AR71" s="213"/>
      <c r="AS71" s="213"/>
      <c r="AT71" s="213"/>
      <c r="AU71" s="213"/>
      <c r="AV71" s="213"/>
      <c r="AW71" s="213"/>
      <c r="AX71" s="213"/>
      <c r="AY71" s="213"/>
      <c r="AZ71" s="213"/>
    </row>
    <row r="72" spans="2:52" s="49" customFormat="1" x14ac:dyDescent="0.35">
      <c r="X72" s="213"/>
      <c r="AA72" s="213"/>
      <c r="AB72" s="212"/>
      <c r="AC72" s="212"/>
      <c r="AD72" s="212"/>
      <c r="AE72" s="212"/>
      <c r="AF72" s="212"/>
      <c r="AG72" s="212"/>
      <c r="AH72" s="212"/>
      <c r="AI72" s="212"/>
      <c r="AJ72" s="213"/>
      <c r="AK72" s="213"/>
      <c r="AL72" s="213"/>
      <c r="AM72" s="213"/>
      <c r="AN72" s="213"/>
      <c r="AO72" s="213"/>
      <c r="AP72" s="213"/>
      <c r="AQ72" s="213"/>
      <c r="AR72" s="213"/>
      <c r="AS72" s="213"/>
      <c r="AT72" s="213"/>
      <c r="AU72" s="213"/>
      <c r="AV72" s="213"/>
      <c r="AW72" s="213"/>
      <c r="AX72" s="213"/>
      <c r="AY72" s="213"/>
      <c r="AZ72" s="213"/>
    </row>
    <row r="73" spans="2:52" s="49" customFormat="1" x14ac:dyDescent="0.35">
      <c r="X73" s="213"/>
      <c r="AA73" s="213"/>
      <c r="AB73" s="212"/>
      <c r="AC73" s="212"/>
      <c r="AD73" s="212"/>
      <c r="AE73" s="212"/>
      <c r="AF73" s="212"/>
      <c r="AG73" s="212"/>
      <c r="AH73" s="212"/>
      <c r="AI73" s="212"/>
      <c r="AJ73" s="213"/>
      <c r="AK73" s="213"/>
      <c r="AL73" s="213"/>
      <c r="AM73" s="213"/>
      <c r="AN73" s="213"/>
      <c r="AO73" s="213"/>
      <c r="AP73" s="213"/>
      <c r="AQ73" s="213"/>
      <c r="AR73" s="213"/>
      <c r="AS73" s="213"/>
      <c r="AT73" s="213"/>
      <c r="AU73" s="213"/>
      <c r="AV73" s="213"/>
      <c r="AW73" s="213"/>
      <c r="AX73" s="213"/>
      <c r="AY73" s="213"/>
      <c r="AZ73" s="213"/>
    </row>
    <row r="74" spans="2:52" s="49" customFormat="1" x14ac:dyDescent="0.35">
      <c r="AA74" s="213"/>
      <c r="AB74" s="212"/>
      <c r="AC74" s="212"/>
      <c r="AD74" s="212"/>
      <c r="AE74" s="212"/>
      <c r="AF74" s="212"/>
      <c r="AG74" s="212"/>
      <c r="AH74" s="212"/>
      <c r="AI74" s="212"/>
      <c r="AJ74" s="213"/>
      <c r="AK74" s="213"/>
      <c r="AL74" s="213"/>
      <c r="AM74" s="213"/>
      <c r="AN74" s="213"/>
      <c r="AO74" s="213"/>
      <c r="AP74" s="213"/>
      <c r="AQ74" s="213"/>
      <c r="AR74" s="213"/>
      <c r="AS74" s="213"/>
      <c r="AT74" s="213"/>
      <c r="AU74" s="213"/>
      <c r="AV74" s="213"/>
      <c r="AW74" s="213"/>
      <c r="AX74" s="213"/>
      <c r="AY74" s="213"/>
      <c r="AZ74" s="213"/>
    </row>
    <row r="75" spans="2:52" s="49" customFormat="1" x14ac:dyDescent="0.35">
      <c r="AA75" s="213"/>
      <c r="AB75" s="212"/>
      <c r="AC75" s="212"/>
      <c r="AD75" s="212"/>
      <c r="AE75" s="212"/>
      <c r="AF75" s="212"/>
      <c r="AG75" s="212"/>
      <c r="AH75" s="212"/>
      <c r="AI75" s="212"/>
      <c r="AJ75" s="213"/>
      <c r="AK75" s="213"/>
      <c r="AL75" s="213"/>
      <c r="AM75" s="213"/>
      <c r="AN75" s="213"/>
      <c r="AO75" s="213"/>
      <c r="AP75" s="213"/>
      <c r="AQ75" s="213"/>
      <c r="AR75" s="213"/>
      <c r="AS75" s="213"/>
      <c r="AT75" s="213"/>
      <c r="AU75" s="213"/>
      <c r="AV75" s="213"/>
      <c r="AW75" s="213"/>
      <c r="AX75" s="213"/>
      <c r="AY75" s="213"/>
      <c r="AZ75" s="213"/>
    </row>
    <row r="76" spans="2:52" s="49" customFormat="1" x14ac:dyDescent="0.35">
      <c r="AA76" s="213"/>
      <c r="AB76" s="212"/>
      <c r="AC76" s="212"/>
      <c r="AD76" s="212"/>
      <c r="AE76" s="212"/>
      <c r="AF76" s="212"/>
      <c r="AG76" s="212"/>
      <c r="AH76" s="212"/>
      <c r="AI76" s="212"/>
      <c r="AJ76" s="213"/>
      <c r="AK76" s="213"/>
      <c r="AL76" s="213"/>
      <c r="AM76" s="213"/>
      <c r="AN76" s="213"/>
      <c r="AO76" s="213"/>
      <c r="AP76" s="213"/>
      <c r="AQ76" s="213"/>
      <c r="AR76" s="213"/>
      <c r="AS76" s="213"/>
      <c r="AT76" s="213"/>
      <c r="AU76" s="213"/>
      <c r="AV76" s="213"/>
      <c r="AW76" s="213"/>
      <c r="AX76" s="213"/>
      <c r="AY76" s="213"/>
      <c r="AZ76" s="213"/>
    </row>
    <row r="77" spans="2:52" s="49" customFormat="1" x14ac:dyDescent="0.35">
      <c r="AA77" s="213"/>
      <c r="AB77" s="212"/>
      <c r="AC77" s="212"/>
      <c r="AD77" s="212"/>
      <c r="AE77" s="212"/>
      <c r="AF77" s="212"/>
      <c r="AG77" s="212"/>
      <c r="AH77" s="212"/>
      <c r="AI77" s="212"/>
      <c r="AJ77" s="213"/>
      <c r="AK77" s="213"/>
      <c r="AL77" s="213"/>
      <c r="AM77" s="213"/>
      <c r="AN77" s="213"/>
      <c r="AO77" s="213"/>
      <c r="AP77" s="213"/>
      <c r="AQ77" s="213"/>
      <c r="AR77" s="213"/>
      <c r="AS77" s="213"/>
      <c r="AT77" s="213"/>
      <c r="AU77" s="213"/>
      <c r="AV77" s="213"/>
      <c r="AW77" s="213"/>
      <c r="AX77" s="213"/>
      <c r="AY77" s="213"/>
      <c r="AZ77" s="213"/>
    </row>
    <row r="78" spans="2:52" s="49" customFormat="1" x14ac:dyDescent="0.35">
      <c r="AA78" s="213"/>
      <c r="AB78" s="212"/>
      <c r="AC78" s="212"/>
      <c r="AD78" s="212"/>
      <c r="AE78" s="212"/>
      <c r="AF78" s="212"/>
      <c r="AG78" s="212"/>
      <c r="AH78" s="212"/>
      <c r="AI78" s="212"/>
      <c r="AJ78" s="213"/>
      <c r="AK78" s="213"/>
      <c r="AL78" s="213"/>
      <c r="AM78" s="213"/>
      <c r="AN78" s="213"/>
      <c r="AO78" s="213"/>
      <c r="AP78" s="213"/>
      <c r="AQ78" s="213"/>
      <c r="AR78" s="213"/>
      <c r="AS78" s="213"/>
      <c r="AT78" s="213"/>
      <c r="AU78" s="213"/>
      <c r="AV78" s="213"/>
      <c r="AW78" s="213"/>
      <c r="AX78" s="213"/>
      <c r="AY78" s="213"/>
      <c r="AZ78" s="213"/>
    </row>
    <row r="79" spans="2:52" s="49" customFormat="1" x14ac:dyDescent="0.35">
      <c r="AA79" s="213"/>
      <c r="AB79" s="212"/>
      <c r="AC79" s="212"/>
      <c r="AD79" s="212"/>
      <c r="AE79" s="212"/>
      <c r="AF79" s="212"/>
      <c r="AG79" s="212"/>
      <c r="AH79" s="212"/>
      <c r="AI79" s="212"/>
      <c r="AJ79" s="213"/>
      <c r="AK79" s="213"/>
      <c r="AL79" s="213"/>
      <c r="AM79" s="213"/>
      <c r="AN79" s="213"/>
      <c r="AO79" s="213"/>
      <c r="AP79" s="213"/>
      <c r="AQ79" s="213"/>
      <c r="AR79" s="213"/>
      <c r="AS79" s="213"/>
      <c r="AT79" s="213"/>
      <c r="AU79" s="213"/>
      <c r="AV79" s="213"/>
      <c r="AW79" s="213"/>
      <c r="AX79" s="213"/>
      <c r="AY79" s="213"/>
      <c r="AZ79" s="213"/>
    </row>
    <row r="80" spans="2:52" s="49" customFormat="1" x14ac:dyDescent="0.35">
      <c r="AA80" s="213"/>
      <c r="AB80" s="212"/>
      <c r="AC80" s="212"/>
      <c r="AD80" s="212"/>
      <c r="AE80" s="212"/>
      <c r="AF80" s="212"/>
      <c r="AG80" s="212"/>
      <c r="AH80" s="212"/>
      <c r="AI80" s="212"/>
      <c r="AJ80" s="213"/>
      <c r="AK80" s="213"/>
      <c r="AL80" s="213"/>
      <c r="AM80" s="213"/>
      <c r="AN80" s="213"/>
      <c r="AO80" s="213"/>
      <c r="AP80" s="213"/>
      <c r="AQ80" s="213"/>
      <c r="AR80" s="213"/>
      <c r="AS80" s="213"/>
      <c r="AT80" s="213"/>
      <c r="AU80" s="213"/>
      <c r="AV80" s="213"/>
      <c r="AW80" s="213"/>
      <c r="AX80" s="213"/>
      <c r="AY80" s="213"/>
      <c r="AZ80" s="213"/>
    </row>
    <row r="81" spans="27:52" s="49" customFormat="1" x14ac:dyDescent="0.35">
      <c r="AA81" s="213"/>
      <c r="AB81" s="212"/>
      <c r="AC81" s="212"/>
      <c r="AD81" s="212"/>
      <c r="AE81" s="212"/>
      <c r="AF81" s="212"/>
      <c r="AG81" s="212"/>
      <c r="AH81" s="212"/>
      <c r="AI81" s="212"/>
      <c r="AJ81" s="213"/>
      <c r="AK81" s="213"/>
      <c r="AL81" s="213"/>
      <c r="AM81" s="213"/>
      <c r="AN81" s="213"/>
      <c r="AO81" s="213"/>
      <c r="AP81" s="213"/>
      <c r="AQ81" s="213"/>
      <c r="AR81" s="213"/>
      <c r="AS81" s="213"/>
      <c r="AT81" s="213"/>
      <c r="AU81" s="213"/>
      <c r="AV81" s="213"/>
      <c r="AW81" s="213"/>
      <c r="AX81" s="213"/>
      <c r="AY81" s="213"/>
      <c r="AZ81" s="213"/>
    </row>
    <row r="82" spans="27:52" s="49" customFormat="1" x14ac:dyDescent="0.35">
      <c r="AA82" s="213"/>
      <c r="AB82" s="212"/>
      <c r="AC82" s="212"/>
      <c r="AD82" s="212"/>
      <c r="AE82" s="212"/>
      <c r="AF82" s="212"/>
      <c r="AG82" s="212"/>
      <c r="AH82" s="212"/>
      <c r="AI82" s="212"/>
      <c r="AJ82" s="213"/>
      <c r="AK82" s="213"/>
      <c r="AL82" s="213"/>
      <c r="AM82" s="213"/>
      <c r="AN82" s="213"/>
      <c r="AO82" s="213"/>
      <c r="AP82" s="213"/>
      <c r="AQ82" s="213"/>
      <c r="AR82" s="213"/>
      <c r="AS82" s="213"/>
      <c r="AT82" s="213"/>
      <c r="AU82" s="213"/>
      <c r="AV82" s="213"/>
      <c r="AW82" s="213"/>
      <c r="AX82" s="213"/>
      <c r="AY82" s="213"/>
      <c r="AZ82" s="213"/>
    </row>
    <row r="83" spans="27:52" s="49" customFormat="1" x14ac:dyDescent="0.35">
      <c r="AA83" s="213"/>
      <c r="AB83" s="212"/>
      <c r="AC83" s="212"/>
      <c r="AD83" s="212"/>
      <c r="AE83" s="212"/>
      <c r="AF83" s="212"/>
      <c r="AG83" s="212"/>
      <c r="AH83" s="212"/>
      <c r="AI83" s="212"/>
      <c r="AJ83" s="213"/>
      <c r="AK83" s="213"/>
      <c r="AL83" s="213"/>
      <c r="AM83" s="213"/>
      <c r="AN83" s="213"/>
      <c r="AO83" s="213"/>
      <c r="AP83" s="213"/>
      <c r="AQ83" s="213"/>
      <c r="AR83" s="213"/>
      <c r="AS83" s="213"/>
      <c r="AT83" s="213"/>
      <c r="AU83" s="213"/>
      <c r="AV83" s="213"/>
      <c r="AW83" s="213"/>
      <c r="AX83" s="213"/>
      <c r="AY83" s="213"/>
      <c r="AZ83" s="213"/>
    </row>
    <row r="84" spans="27:52" s="49" customFormat="1" x14ac:dyDescent="0.35">
      <c r="AA84" s="213"/>
      <c r="AB84" s="212"/>
      <c r="AC84" s="212"/>
      <c r="AD84" s="212"/>
      <c r="AE84" s="212"/>
      <c r="AF84" s="212"/>
      <c r="AG84" s="212"/>
      <c r="AH84" s="212"/>
      <c r="AI84" s="212"/>
      <c r="AJ84" s="213"/>
      <c r="AK84" s="213"/>
      <c r="AL84" s="213"/>
      <c r="AM84" s="213"/>
      <c r="AN84" s="213"/>
      <c r="AO84" s="213"/>
      <c r="AP84" s="213"/>
      <c r="AQ84" s="213"/>
      <c r="AR84" s="213"/>
      <c r="AS84" s="213"/>
      <c r="AT84" s="213"/>
      <c r="AU84" s="213"/>
      <c r="AV84" s="213"/>
      <c r="AW84" s="213"/>
      <c r="AX84" s="213"/>
      <c r="AY84" s="213"/>
      <c r="AZ84" s="213"/>
    </row>
    <row r="85" spans="27:52" s="49" customFormat="1" x14ac:dyDescent="0.35">
      <c r="AA85" s="213"/>
      <c r="AB85" s="212"/>
      <c r="AC85" s="212"/>
      <c r="AD85" s="212"/>
      <c r="AE85" s="212"/>
      <c r="AF85" s="212"/>
      <c r="AG85" s="212"/>
      <c r="AH85" s="212"/>
      <c r="AI85" s="212"/>
      <c r="AJ85" s="213"/>
      <c r="AK85" s="213"/>
      <c r="AL85" s="213"/>
      <c r="AM85" s="213"/>
      <c r="AN85" s="213"/>
      <c r="AO85" s="213"/>
      <c r="AP85" s="213"/>
      <c r="AQ85" s="213"/>
      <c r="AR85" s="213"/>
      <c r="AS85" s="213"/>
      <c r="AT85" s="213"/>
      <c r="AU85" s="213"/>
      <c r="AV85" s="213"/>
      <c r="AW85" s="213"/>
      <c r="AX85" s="213"/>
      <c r="AY85" s="213"/>
      <c r="AZ85" s="213"/>
    </row>
    <row r="86" spans="27:52" s="49" customFormat="1" x14ac:dyDescent="0.35">
      <c r="AA86" s="213"/>
      <c r="AB86" s="212"/>
      <c r="AC86" s="212"/>
      <c r="AD86" s="212"/>
      <c r="AE86" s="212"/>
      <c r="AF86" s="212"/>
      <c r="AG86" s="212"/>
      <c r="AH86" s="212"/>
      <c r="AI86" s="212"/>
      <c r="AJ86" s="213"/>
      <c r="AK86" s="213"/>
      <c r="AL86" s="213"/>
      <c r="AM86" s="213"/>
      <c r="AN86" s="213"/>
      <c r="AO86" s="213"/>
      <c r="AP86" s="213"/>
      <c r="AQ86" s="213"/>
      <c r="AR86" s="213"/>
      <c r="AS86" s="213"/>
      <c r="AT86" s="213"/>
      <c r="AU86" s="213"/>
      <c r="AV86" s="213"/>
      <c r="AW86" s="213"/>
      <c r="AX86" s="213"/>
      <c r="AY86" s="213"/>
      <c r="AZ86" s="213"/>
    </row>
    <row r="87" spans="27:52" s="49" customFormat="1" x14ac:dyDescent="0.35">
      <c r="AA87" s="213"/>
      <c r="AB87" s="212"/>
      <c r="AC87" s="212"/>
      <c r="AD87" s="212"/>
      <c r="AE87" s="212"/>
      <c r="AF87" s="212"/>
      <c r="AG87" s="212"/>
      <c r="AH87" s="212"/>
      <c r="AI87" s="212"/>
      <c r="AJ87" s="213"/>
      <c r="AK87" s="213"/>
      <c r="AL87" s="213"/>
      <c r="AM87" s="213"/>
      <c r="AN87" s="213"/>
      <c r="AO87" s="213"/>
      <c r="AP87" s="213"/>
      <c r="AQ87" s="213"/>
      <c r="AR87" s="213"/>
      <c r="AS87" s="213"/>
      <c r="AT87" s="213"/>
      <c r="AU87" s="213"/>
      <c r="AV87" s="213"/>
      <c r="AW87" s="213"/>
      <c r="AX87" s="213"/>
      <c r="AY87" s="213"/>
      <c r="AZ87" s="213"/>
    </row>
    <row r="88" spans="27:52" s="49" customFormat="1" x14ac:dyDescent="0.35">
      <c r="AA88" s="213"/>
      <c r="AB88" s="212"/>
      <c r="AC88" s="212"/>
      <c r="AD88" s="212"/>
      <c r="AE88" s="212"/>
      <c r="AF88" s="212"/>
      <c r="AG88" s="212"/>
      <c r="AH88" s="212"/>
      <c r="AI88" s="212"/>
      <c r="AJ88" s="213"/>
      <c r="AK88" s="213"/>
      <c r="AL88" s="213"/>
      <c r="AM88" s="213"/>
      <c r="AN88" s="213"/>
      <c r="AO88" s="213"/>
      <c r="AP88" s="213"/>
      <c r="AQ88" s="213"/>
      <c r="AR88" s="213"/>
      <c r="AS88" s="213"/>
      <c r="AT88" s="213"/>
      <c r="AU88" s="213"/>
      <c r="AV88" s="213"/>
      <c r="AW88" s="213"/>
      <c r="AX88" s="213"/>
      <c r="AY88" s="213"/>
      <c r="AZ88" s="213"/>
    </row>
    <row r="89" spans="27:52" s="49" customFormat="1" x14ac:dyDescent="0.35">
      <c r="AA89" s="213"/>
      <c r="AB89" s="212"/>
      <c r="AC89" s="212"/>
      <c r="AD89" s="212"/>
      <c r="AE89" s="212"/>
      <c r="AF89" s="212"/>
      <c r="AG89" s="212"/>
      <c r="AH89" s="212"/>
      <c r="AI89" s="212"/>
      <c r="AJ89" s="213"/>
      <c r="AK89" s="213"/>
      <c r="AL89" s="213"/>
      <c r="AM89" s="213"/>
      <c r="AN89" s="213"/>
      <c r="AO89" s="213"/>
      <c r="AP89" s="213"/>
      <c r="AQ89" s="213"/>
      <c r="AR89" s="213"/>
      <c r="AS89" s="213"/>
      <c r="AT89" s="213"/>
      <c r="AU89" s="213"/>
      <c r="AV89" s="213"/>
      <c r="AW89" s="213"/>
      <c r="AX89" s="213"/>
      <c r="AY89" s="213"/>
      <c r="AZ89" s="213"/>
    </row>
    <row r="90" spans="27:52" s="49" customFormat="1" x14ac:dyDescent="0.35">
      <c r="AA90" s="213"/>
      <c r="AB90" s="212"/>
      <c r="AC90" s="212"/>
      <c r="AD90" s="212"/>
      <c r="AE90" s="212"/>
      <c r="AF90" s="212"/>
      <c r="AG90" s="212"/>
      <c r="AH90" s="212"/>
      <c r="AI90" s="212"/>
      <c r="AJ90" s="213"/>
      <c r="AK90" s="213"/>
      <c r="AL90" s="213"/>
      <c r="AM90" s="213"/>
      <c r="AN90" s="213"/>
      <c r="AO90" s="213"/>
      <c r="AP90" s="213"/>
      <c r="AQ90" s="213"/>
      <c r="AR90" s="213"/>
      <c r="AS90" s="213"/>
      <c r="AT90" s="213"/>
      <c r="AU90" s="213"/>
      <c r="AV90" s="213"/>
      <c r="AW90" s="213"/>
      <c r="AX90" s="213"/>
      <c r="AY90" s="213"/>
      <c r="AZ90" s="213"/>
    </row>
    <row r="91" spans="27:52" s="49" customFormat="1" x14ac:dyDescent="0.35">
      <c r="AA91" s="213"/>
      <c r="AB91" s="212"/>
      <c r="AC91" s="212"/>
      <c r="AD91" s="212"/>
      <c r="AE91" s="212"/>
      <c r="AF91" s="212"/>
      <c r="AG91" s="212"/>
      <c r="AH91" s="212"/>
      <c r="AI91" s="212"/>
      <c r="AJ91" s="213"/>
      <c r="AK91" s="213"/>
      <c r="AL91" s="213"/>
      <c r="AM91" s="213"/>
      <c r="AN91" s="213"/>
      <c r="AO91" s="213"/>
      <c r="AP91" s="213"/>
      <c r="AQ91" s="213"/>
      <c r="AR91" s="213"/>
      <c r="AS91" s="213"/>
      <c r="AT91" s="213"/>
      <c r="AU91" s="213"/>
      <c r="AV91" s="213"/>
      <c r="AW91" s="213"/>
      <c r="AX91" s="213"/>
      <c r="AY91" s="213"/>
      <c r="AZ91" s="213"/>
    </row>
    <row r="92" spans="27:52" s="49" customFormat="1" x14ac:dyDescent="0.35">
      <c r="AA92" s="213"/>
      <c r="AB92" s="212"/>
      <c r="AC92" s="212"/>
      <c r="AD92" s="212"/>
      <c r="AE92" s="212"/>
      <c r="AF92" s="212"/>
      <c r="AG92" s="212"/>
      <c r="AH92" s="212"/>
      <c r="AI92" s="212"/>
      <c r="AJ92" s="213"/>
      <c r="AK92" s="213"/>
      <c r="AL92" s="213"/>
      <c r="AM92" s="213"/>
      <c r="AN92" s="213"/>
      <c r="AO92" s="213"/>
      <c r="AP92" s="213"/>
      <c r="AQ92" s="213"/>
      <c r="AR92" s="213"/>
      <c r="AS92" s="213"/>
      <c r="AT92" s="213"/>
      <c r="AU92" s="213"/>
      <c r="AV92" s="213"/>
      <c r="AW92" s="213"/>
      <c r="AX92" s="213"/>
      <c r="AY92" s="213"/>
      <c r="AZ92" s="213"/>
    </row>
    <row r="93" spans="27:52" s="49" customFormat="1" x14ac:dyDescent="0.35">
      <c r="AA93" s="213"/>
      <c r="AB93" s="212"/>
      <c r="AC93" s="212"/>
      <c r="AD93" s="212"/>
      <c r="AE93" s="212"/>
      <c r="AF93" s="212"/>
      <c r="AG93" s="212"/>
      <c r="AH93" s="212"/>
      <c r="AI93" s="212"/>
      <c r="AJ93" s="213"/>
      <c r="AK93" s="213"/>
      <c r="AL93" s="213"/>
      <c r="AM93" s="213"/>
      <c r="AN93" s="213"/>
      <c r="AO93" s="213"/>
      <c r="AP93" s="213"/>
      <c r="AQ93" s="213"/>
      <c r="AR93" s="213"/>
      <c r="AS93" s="213"/>
      <c r="AT93" s="213"/>
      <c r="AU93" s="213"/>
      <c r="AV93" s="213"/>
      <c r="AW93" s="213"/>
      <c r="AX93" s="213"/>
      <c r="AY93" s="213"/>
      <c r="AZ93" s="213"/>
    </row>
    <row r="94" spans="27:52" s="49" customFormat="1" x14ac:dyDescent="0.35">
      <c r="AA94" s="213"/>
      <c r="AB94" s="212"/>
      <c r="AC94" s="212"/>
      <c r="AD94" s="212"/>
      <c r="AE94" s="212"/>
      <c r="AF94" s="212"/>
      <c r="AG94" s="212"/>
      <c r="AH94" s="212"/>
      <c r="AI94" s="212"/>
      <c r="AJ94" s="213"/>
      <c r="AK94" s="213"/>
      <c r="AL94" s="213"/>
      <c r="AM94" s="213"/>
      <c r="AN94" s="213"/>
      <c r="AO94" s="213"/>
      <c r="AP94" s="213"/>
      <c r="AQ94" s="213"/>
      <c r="AR94" s="213"/>
      <c r="AS94" s="213"/>
      <c r="AT94" s="213"/>
      <c r="AU94" s="213"/>
      <c r="AV94" s="213"/>
      <c r="AW94" s="213"/>
      <c r="AX94" s="213"/>
      <c r="AY94" s="213"/>
      <c r="AZ94" s="213"/>
    </row>
    <row r="95" spans="27:52" s="49" customFormat="1" x14ac:dyDescent="0.35">
      <c r="AA95" s="213"/>
      <c r="AB95" s="212"/>
      <c r="AC95" s="212"/>
      <c r="AD95" s="212"/>
      <c r="AE95" s="212"/>
      <c r="AF95" s="212"/>
      <c r="AG95" s="212"/>
      <c r="AH95" s="212"/>
      <c r="AI95" s="212"/>
      <c r="AJ95" s="213"/>
      <c r="AK95" s="213"/>
      <c r="AL95" s="213"/>
      <c r="AM95" s="213"/>
      <c r="AN95" s="213"/>
      <c r="AO95" s="213"/>
      <c r="AP95" s="213"/>
      <c r="AQ95" s="213"/>
      <c r="AR95" s="213"/>
      <c r="AS95" s="213"/>
      <c r="AT95" s="213"/>
      <c r="AU95" s="213"/>
      <c r="AV95" s="213"/>
      <c r="AW95" s="213"/>
      <c r="AX95" s="213"/>
      <c r="AY95" s="213"/>
      <c r="AZ95" s="213"/>
    </row>
    <row r="96" spans="27:52" s="49" customFormat="1" x14ac:dyDescent="0.35">
      <c r="AA96" s="213"/>
      <c r="AB96" s="212"/>
      <c r="AC96" s="212"/>
      <c r="AD96" s="212"/>
      <c r="AE96" s="212"/>
      <c r="AF96" s="212"/>
      <c r="AG96" s="212"/>
      <c r="AH96" s="212"/>
      <c r="AI96" s="212"/>
      <c r="AJ96" s="213"/>
      <c r="AK96" s="213"/>
      <c r="AL96" s="213"/>
      <c r="AM96" s="213"/>
      <c r="AN96" s="213"/>
      <c r="AO96" s="213"/>
      <c r="AP96" s="213"/>
      <c r="AQ96" s="213"/>
      <c r="AR96" s="213"/>
      <c r="AS96" s="213"/>
      <c r="AT96" s="213"/>
      <c r="AU96" s="213"/>
      <c r="AV96" s="213"/>
      <c r="AW96" s="213"/>
      <c r="AX96" s="213"/>
      <c r="AY96" s="213"/>
      <c r="AZ96" s="213"/>
    </row>
    <row r="97" spans="27:52" s="49" customFormat="1" x14ac:dyDescent="0.35">
      <c r="AA97" s="213"/>
      <c r="AB97" s="212"/>
      <c r="AC97" s="212"/>
      <c r="AD97" s="212"/>
      <c r="AE97" s="212"/>
      <c r="AF97" s="212"/>
      <c r="AG97" s="212"/>
      <c r="AH97" s="212"/>
      <c r="AI97" s="212"/>
      <c r="AJ97" s="213"/>
      <c r="AK97" s="213"/>
      <c r="AL97" s="213"/>
      <c r="AM97" s="213"/>
      <c r="AN97" s="213"/>
      <c r="AO97" s="213"/>
      <c r="AP97" s="213"/>
      <c r="AQ97" s="213"/>
      <c r="AR97" s="213"/>
      <c r="AS97" s="213"/>
      <c r="AT97" s="213"/>
      <c r="AU97" s="213"/>
      <c r="AV97" s="213"/>
      <c r="AW97" s="213"/>
      <c r="AX97" s="213"/>
      <c r="AY97" s="213"/>
      <c r="AZ97" s="213"/>
    </row>
    <row r="98" spans="27:52" s="49" customFormat="1" x14ac:dyDescent="0.35">
      <c r="AA98" s="213"/>
      <c r="AB98" s="212"/>
      <c r="AC98" s="212"/>
      <c r="AD98" s="212"/>
      <c r="AE98" s="212"/>
      <c r="AF98" s="212"/>
      <c r="AG98" s="212"/>
      <c r="AH98" s="212"/>
      <c r="AI98" s="212"/>
      <c r="AJ98" s="213"/>
      <c r="AK98" s="213"/>
      <c r="AL98" s="213"/>
      <c r="AM98" s="213"/>
      <c r="AN98" s="213"/>
      <c r="AO98" s="213"/>
      <c r="AP98" s="213"/>
      <c r="AQ98" s="213"/>
      <c r="AR98" s="213"/>
      <c r="AS98" s="213"/>
      <c r="AT98" s="213"/>
      <c r="AU98" s="213"/>
      <c r="AV98" s="213"/>
      <c r="AW98" s="213"/>
      <c r="AX98" s="213"/>
      <c r="AY98" s="213"/>
      <c r="AZ98" s="213"/>
    </row>
    <row r="99" spans="27:52" s="49" customFormat="1" x14ac:dyDescent="0.35">
      <c r="AA99" s="213"/>
      <c r="AB99" s="212"/>
      <c r="AC99" s="212"/>
      <c r="AD99" s="212"/>
      <c r="AE99" s="212"/>
      <c r="AF99" s="212"/>
      <c r="AG99" s="212"/>
      <c r="AH99" s="212"/>
      <c r="AI99" s="212"/>
      <c r="AJ99" s="213"/>
      <c r="AK99" s="213"/>
      <c r="AL99" s="213"/>
      <c r="AM99" s="213"/>
      <c r="AN99" s="213"/>
      <c r="AO99" s="213"/>
      <c r="AP99" s="213"/>
      <c r="AQ99" s="213"/>
      <c r="AR99" s="213"/>
      <c r="AS99" s="213"/>
      <c r="AT99" s="213"/>
      <c r="AU99" s="213"/>
      <c r="AV99" s="213"/>
      <c r="AW99" s="213"/>
      <c r="AX99" s="213"/>
      <c r="AY99" s="213"/>
      <c r="AZ99" s="213"/>
    </row>
    <row r="100" spans="27:52" s="49" customFormat="1" x14ac:dyDescent="0.35">
      <c r="AA100" s="213"/>
      <c r="AB100" s="212"/>
      <c r="AC100" s="212"/>
      <c r="AD100" s="212"/>
      <c r="AE100" s="212"/>
      <c r="AF100" s="212"/>
      <c r="AG100" s="212"/>
      <c r="AH100" s="212"/>
      <c r="AI100" s="212"/>
      <c r="AJ100" s="213"/>
      <c r="AK100" s="213"/>
      <c r="AL100" s="213"/>
      <c r="AM100" s="213"/>
      <c r="AN100" s="213"/>
      <c r="AO100" s="213"/>
      <c r="AP100" s="213"/>
      <c r="AQ100" s="213"/>
      <c r="AR100" s="213"/>
      <c r="AS100" s="213"/>
      <c r="AT100" s="213"/>
      <c r="AU100" s="213"/>
      <c r="AV100" s="213"/>
      <c r="AW100" s="213"/>
      <c r="AX100" s="213"/>
      <c r="AY100" s="213"/>
      <c r="AZ100" s="213"/>
    </row>
    <row r="101" spans="27:52" s="49" customFormat="1" x14ac:dyDescent="0.35">
      <c r="AA101" s="213"/>
      <c r="AB101" s="212"/>
      <c r="AC101" s="212"/>
      <c r="AD101" s="212"/>
      <c r="AE101" s="212"/>
      <c r="AF101" s="212"/>
      <c r="AG101" s="212"/>
      <c r="AH101" s="212"/>
      <c r="AI101" s="212"/>
      <c r="AJ101" s="213"/>
      <c r="AK101" s="213"/>
      <c r="AL101" s="213"/>
      <c r="AM101" s="213"/>
      <c r="AN101" s="213"/>
      <c r="AO101" s="213"/>
      <c r="AP101" s="213"/>
      <c r="AQ101" s="213"/>
      <c r="AR101" s="213"/>
      <c r="AS101" s="213"/>
      <c r="AT101" s="213"/>
      <c r="AU101" s="213"/>
      <c r="AV101" s="213"/>
      <c r="AW101" s="213"/>
      <c r="AX101" s="213"/>
      <c r="AY101" s="213"/>
      <c r="AZ101" s="213"/>
    </row>
    <row r="102" spans="27:52" s="49" customFormat="1" x14ac:dyDescent="0.35">
      <c r="AA102" s="213"/>
      <c r="AB102" s="212"/>
      <c r="AC102" s="212"/>
      <c r="AD102" s="212"/>
      <c r="AE102" s="212"/>
      <c r="AF102" s="212"/>
      <c r="AG102" s="212"/>
      <c r="AH102" s="212"/>
      <c r="AI102" s="212"/>
      <c r="AJ102" s="213"/>
      <c r="AK102" s="213"/>
      <c r="AL102" s="213"/>
      <c r="AM102" s="213"/>
      <c r="AN102" s="213"/>
      <c r="AO102" s="213"/>
      <c r="AP102" s="213"/>
      <c r="AQ102" s="213"/>
      <c r="AR102" s="213"/>
      <c r="AS102" s="213"/>
      <c r="AT102" s="213"/>
      <c r="AU102" s="213"/>
      <c r="AV102" s="213"/>
      <c r="AW102" s="213"/>
      <c r="AX102" s="213"/>
      <c r="AY102" s="213"/>
      <c r="AZ102" s="213"/>
    </row>
    <row r="103" spans="27:52" s="49" customFormat="1" x14ac:dyDescent="0.35">
      <c r="AA103" s="213"/>
      <c r="AB103" s="212"/>
      <c r="AC103" s="212"/>
      <c r="AD103" s="212"/>
      <c r="AE103" s="212"/>
      <c r="AF103" s="212"/>
      <c r="AG103" s="212"/>
      <c r="AH103" s="212"/>
      <c r="AI103" s="212"/>
      <c r="AJ103" s="213"/>
      <c r="AK103" s="213"/>
      <c r="AL103" s="213"/>
      <c r="AM103" s="213"/>
      <c r="AN103" s="213"/>
      <c r="AO103" s="213"/>
      <c r="AP103" s="213"/>
      <c r="AQ103" s="213"/>
      <c r="AR103" s="213"/>
      <c r="AS103" s="213"/>
      <c r="AT103" s="213"/>
      <c r="AU103" s="213"/>
      <c r="AV103" s="213"/>
      <c r="AW103" s="213"/>
      <c r="AX103" s="213"/>
      <c r="AY103" s="213"/>
      <c r="AZ103" s="213"/>
    </row>
    <row r="104" spans="27:52" s="49" customFormat="1" x14ac:dyDescent="0.35">
      <c r="AA104" s="213"/>
      <c r="AB104" s="212"/>
      <c r="AC104" s="212"/>
      <c r="AD104" s="212"/>
      <c r="AE104" s="212"/>
      <c r="AF104" s="212"/>
      <c r="AG104" s="212"/>
      <c r="AH104" s="212"/>
      <c r="AI104" s="212"/>
      <c r="AJ104" s="213"/>
      <c r="AK104" s="213"/>
      <c r="AL104" s="213"/>
      <c r="AM104" s="213"/>
      <c r="AN104" s="213"/>
      <c r="AO104" s="213"/>
      <c r="AP104" s="213"/>
      <c r="AQ104" s="213"/>
      <c r="AR104" s="213"/>
      <c r="AS104" s="213"/>
      <c r="AT104" s="213"/>
      <c r="AU104" s="213"/>
      <c r="AV104" s="213"/>
      <c r="AW104" s="213"/>
      <c r="AX104" s="213"/>
      <c r="AY104" s="213"/>
      <c r="AZ104" s="213"/>
    </row>
    <row r="105" spans="27:52" s="49" customFormat="1" x14ac:dyDescent="0.35">
      <c r="AA105" s="213"/>
      <c r="AB105" s="212"/>
      <c r="AC105" s="212"/>
      <c r="AD105" s="212"/>
      <c r="AE105" s="212"/>
      <c r="AF105" s="212"/>
      <c r="AG105" s="212"/>
      <c r="AH105" s="212"/>
      <c r="AI105" s="212"/>
      <c r="AJ105" s="213"/>
      <c r="AK105" s="213"/>
      <c r="AL105" s="213"/>
      <c r="AM105" s="213"/>
      <c r="AN105" s="213"/>
      <c r="AO105" s="213"/>
      <c r="AP105" s="213"/>
      <c r="AQ105" s="213"/>
      <c r="AR105" s="213"/>
      <c r="AS105" s="213"/>
      <c r="AT105" s="213"/>
      <c r="AU105" s="213"/>
      <c r="AV105" s="213"/>
      <c r="AW105" s="213"/>
      <c r="AX105" s="213"/>
      <c r="AY105" s="213"/>
      <c r="AZ105" s="213"/>
    </row>
    <row r="106" spans="27:52" s="49" customFormat="1" x14ac:dyDescent="0.35">
      <c r="AA106" s="213"/>
      <c r="AB106" s="212"/>
      <c r="AC106" s="212"/>
      <c r="AD106" s="212"/>
      <c r="AE106" s="212"/>
      <c r="AF106" s="212"/>
      <c r="AG106" s="212"/>
      <c r="AH106" s="212"/>
      <c r="AI106" s="212"/>
      <c r="AJ106" s="213"/>
      <c r="AK106" s="213"/>
      <c r="AL106" s="213"/>
      <c r="AM106" s="213"/>
      <c r="AN106" s="213"/>
      <c r="AO106" s="213"/>
      <c r="AP106" s="213"/>
      <c r="AQ106" s="213"/>
      <c r="AR106" s="213"/>
      <c r="AS106" s="213"/>
      <c r="AT106" s="213"/>
      <c r="AU106" s="213"/>
      <c r="AV106" s="213"/>
      <c r="AW106" s="213"/>
      <c r="AX106" s="213"/>
      <c r="AY106" s="213"/>
      <c r="AZ106" s="213"/>
    </row>
    <row r="107" spans="27:52" s="49" customFormat="1" x14ac:dyDescent="0.35">
      <c r="AA107" s="213"/>
      <c r="AB107" s="212"/>
      <c r="AC107" s="212"/>
      <c r="AD107" s="212"/>
      <c r="AE107" s="212"/>
      <c r="AF107" s="212"/>
      <c r="AG107" s="212"/>
      <c r="AH107" s="212"/>
      <c r="AI107" s="212"/>
      <c r="AJ107" s="213"/>
      <c r="AK107" s="213"/>
      <c r="AL107" s="213"/>
      <c r="AM107" s="213"/>
      <c r="AN107" s="213"/>
      <c r="AO107" s="213"/>
      <c r="AP107" s="213"/>
      <c r="AQ107" s="213"/>
      <c r="AR107" s="213"/>
      <c r="AS107" s="213"/>
      <c r="AT107" s="213"/>
      <c r="AU107" s="213"/>
      <c r="AV107" s="213"/>
      <c r="AW107" s="213"/>
      <c r="AX107" s="213"/>
      <c r="AY107" s="213"/>
      <c r="AZ107" s="213"/>
    </row>
    <row r="108" spans="27:52" s="49" customFormat="1" x14ac:dyDescent="0.35">
      <c r="AA108" s="213"/>
      <c r="AB108" s="212"/>
      <c r="AC108" s="212"/>
      <c r="AD108" s="212"/>
      <c r="AE108" s="212"/>
      <c r="AF108" s="212"/>
      <c r="AG108" s="212"/>
      <c r="AH108" s="212"/>
      <c r="AI108" s="212"/>
      <c r="AJ108" s="213"/>
      <c r="AK108" s="213"/>
      <c r="AL108" s="213"/>
      <c r="AM108" s="213"/>
      <c r="AN108" s="213"/>
      <c r="AO108" s="213"/>
      <c r="AP108" s="213"/>
      <c r="AQ108" s="213"/>
      <c r="AR108" s="213"/>
      <c r="AS108" s="213"/>
      <c r="AT108" s="213"/>
      <c r="AU108" s="213"/>
      <c r="AV108" s="213"/>
      <c r="AW108" s="213"/>
      <c r="AX108" s="213"/>
      <c r="AY108" s="213"/>
      <c r="AZ108" s="213"/>
    </row>
    <row r="109" spans="27:52" s="49" customFormat="1" x14ac:dyDescent="0.35">
      <c r="AA109" s="213"/>
      <c r="AB109" s="212"/>
      <c r="AC109" s="212"/>
      <c r="AD109" s="212"/>
      <c r="AE109" s="212"/>
      <c r="AF109" s="212"/>
      <c r="AG109" s="212"/>
      <c r="AH109" s="212"/>
      <c r="AI109" s="212"/>
      <c r="AJ109" s="213"/>
      <c r="AK109" s="213"/>
      <c r="AL109" s="213"/>
      <c r="AM109" s="213"/>
      <c r="AN109" s="213"/>
      <c r="AO109" s="213"/>
      <c r="AP109" s="213"/>
      <c r="AQ109" s="213"/>
      <c r="AR109" s="213"/>
      <c r="AS109" s="213"/>
      <c r="AT109" s="213"/>
      <c r="AU109" s="213"/>
      <c r="AV109" s="213"/>
      <c r="AW109" s="213"/>
      <c r="AX109" s="213"/>
      <c r="AY109" s="213"/>
      <c r="AZ109" s="213"/>
    </row>
    <row r="110" spans="27:52" s="49" customFormat="1" x14ac:dyDescent="0.35">
      <c r="AA110" s="213"/>
      <c r="AB110" s="212"/>
      <c r="AC110" s="212"/>
      <c r="AD110" s="212"/>
      <c r="AE110" s="212"/>
      <c r="AF110" s="212"/>
      <c r="AG110" s="212"/>
      <c r="AH110" s="212"/>
      <c r="AI110" s="212"/>
      <c r="AJ110" s="213"/>
      <c r="AK110" s="213"/>
      <c r="AL110" s="213"/>
      <c r="AM110" s="213"/>
      <c r="AN110" s="213"/>
      <c r="AO110" s="213"/>
      <c r="AP110" s="213"/>
      <c r="AQ110" s="213"/>
      <c r="AR110" s="213"/>
      <c r="AS110" s="213"/>
      <c r="AT110" s="213"/>
      <c r="AU110" s="213"/>
      <c r="AV110" s="213"/>
      <c r="AW110" s="213"/>
      <c r="AX110" s="213"/>
      <c r="AY110" s="213"/>
      <c r="AZ110" s="213"/>
    </row>
    <row r="111" spans="27:52" s="49" customFormat="1" x14ac:dyDescent="0.35">
      <c r="AA111" s="213"/>
      <c r="AB111" s="212"/>
      <c r="AC111" s="212"/>
      <c r="AD111" s="212"/>
      <c r="AE111" s="212"/>
      <c r="AF111" s="212"/>
      <c r="AG111" s="212"/>
      <c r="AH111" s="212"/>
      <c r="AI111" s="212"/>
      <c r="AJ111" s="213"/>
      <c r="AK111" s="213"/>
      <c r="AL111" s="213"/>
      <c r="AM111" s="213"/>
      <c r="AN111" s="213"/>
      <c r="AO111" s="213"/>
      <c r="AP111" s="213"/>
      <c r="AQ111" s="213"/>
      <c r="AR111" s="213"/>
      <c r="AS111" s="213"/>
      <c r="AT111" s="213"/>
      <c r="AU111" s="213"/>
      <c r="AV111" s="213"/>
      <c r="AW111" s="213"/>
      <c r="AX111" s="213"/>
      <c r="AY111" s="213"/>
      <c r="AZ111" s="213"/>
    </row>
    <row r="112" spans="27:52" s="49" customFormat="1" x14ac:dyDescent="0.35">
      <c r="AA112" s="213"/>
      <c r="AB112" s="212"/>
      <c r="AC112" s="212"/>
      <c r="AD112" s="212"/>
      <c r="AE112" s="212"/>
      <c r="AF112" s="212"/>
      <c r="AG112" s="212"/>
      <c r="AH112" s="212"/>
      <c r="AI112" s="212"/>
      <c r="AJ112" s="213"/>
      <c r="AK112" s="213"/>
      <c r="AL112" s="213"/>
      <c r="AM112" s="213"/>
      <c r="AN112" s="213"/>
      <c r="AO112" s="213"/>
      <c r="AP112" s="213"/>
      <c r="AQ112" s="213"/>
      <c r="AR112" s="213"/>
      <c r="AS112" s="213"/>
      <c r="AT112" s="213"/>
      <c r="AU112" s="213"/>
      <c r="AV112" s="213"/>
      <c r="AW112" s="213"/>
      <c r="AX112" s="213"/>
      <c r="AY112" s="213"/>
      <c r="AZ112" s="213"/>
    </row>
    <row r="113" spans="27:52" s="49" customFormat="1" x14ac:dyDescent="0.35">
      <c r="AA113" s="213"/>
      <c r="AB113" s="212"/>
      <c r="AC113" s="212"/>
      <c r="AD113" s="212"/>
      <c r="AE113" s="212"/>
      <c r="AF113" s="212"/>
      <c r="AG113" s="212"/>
      <c r="AH113" s="212"/>
      <c r="AI113" s="212"/>
      <c r="AJ113" s="213"/>
      <c r="AK113" s="213"/>
      <c r="AL113" s="213"/>
      <c r="AM113" s="213"/>
      <c r="AN113" s="213"/>
      <c r="AO113" s="213"/>
      <c r="AP113" s="213"/>
      <c r="AQ113" s="213"/>
      <c r="AR113" s="213"/>
      <c r="AS113" s="213"/>
      <c r="AT113" s="213"/>
      <c r="AU113" s="213"/>
      <c r="AV113" s="213"/>
      <c r="AW113" s="213"/>
      <c r="AX113" s="213"/>
      <c r="AY113" s="213"/>
      <c r="AZ113" s="213"/>
    </row>
    <row r="114" spans="27:52" s="49" customFormat="1" x14ac:dyDescent="0.35">
      <c r="AA114" s="213"/>
      <c r="AB114" s="212"/>
      <c r="AC114" s="212"/>
      <c r="AD114" s="212"/>
      <c r="AE114" s="212"/>
      <c r="AF114" s="212"/>
      <c r="AG114" s="212"/>
      <c r="AH114" s="212"/>
      <c r="AI114" s="212"/>
      <c r="AJ114" s="213"/>
      <c r="AK114" s="213"/>
      <c r="AL114" s="213"/>
      <c r="AM114" s="213"/>
      <c r="AN114" s="213"/>
      <c r="AO114" s="213"/>
      <c r="AP114" s="213"/>
      <c r="AQ114" s="213"/>
      <c r="AR114" s="213"/>
      <c r="AS114" s="213"/>
      <c r="AT114" s="213"/>
      <c r="AU114" s="213"/>
      <c r="AV114" s="213"/>
      <c r="AW114" s="213"/>
      <c r="AX114" s="213"/>
      <c r="AY114" s="213"/>
      <c r="AZ114" s="213"/>
    </row>
    <row r="115" spans="27:52" s="49" customFormat="1" x14ac:dyDescent="0.35">
      <c r="AA115" s="213"/>
      <c r="AB115" s="212"/>
      <c r="AC115" s="212"/>
      <c r="AD115" s="212"/>
      <c r="AE115" s="212"/>
      <c r="AF115" s="212"/>
      <c r="AG115" s="212"/>
      <c r="AH115" s="212"/>
      <c r="AI115" s="212"/>
      <c r="AJ115" s="213"/>
      <c r="AK115" s="213"/>
      <c r="AL115" s="213"/>
      <c r="AM115" s="213"/>
      <c r="AN115" s="213"/>
      <c r="AO115" s="213"/>
      <c r="AP115" s="213"/>
      <c r="AQ115" s="213"/>
      <c r="AR115" s="213"/>
      <c r="AS115" s="213"/>
      <c r="AT115" s="213"/>
      <c r="AU115" s="213"/>
      <c r="AV115" s="213"/>
      <c r="AW115" s="213"/>
      <c r="AX115" s="213"/>
      <c r="AY115" s="213"/>
      <c r="AZ115" s="213"/>
    </row>
    <row r="116" spans="27:52" s="49" customFormat="1" x14ac:dyDescent="0.35">
      <c r="AA116" s="213"/>
      <c r="AB116" s="212"/>
      <c r="AC116" s="212"/>
      <c r="AD116" s="212"/>
      <c r="AE116" s="212"/>
      <c r="AF116" s="212"/>
      <c r="AG116" s="212"/>
      <c r="AH116" s="212"/>
      <c r="AI116" s="212"/>
      <c r="AJ116" s="213"/>
      <c r="AK116" s="213"/>
      <c r="AL116" s="213"/>
      <c r="AM116" s="213"/>
      <c r="AN116" s="213"/>
      <c r="AO116" s="213"/>
      <c r="AP116" s="213"/>
      <c r="AQ116" s="213"/>
      <c r="AR116" s="213"/>
      <c r="AS116" s="213"/>
      <c r="AT116" s="213"/>
      <c r="AU116" s="213"/>
      <c r="AV116" s="213"/>
      <c r="AW116" s="213"/>
      <c r="AX116" s="213"/>
      <c r="AY116" s="213"/>
      <c r="AZ116" s="213"/>
    </row>
    <row r="117" spans="27:52" s="49" customFormat="1" x14ac:dyDescent="0.35">
      <c r="AA117" s="213"/>
      <c r="AB117" s="212"/>
      <c r="AC117" s="212"/>
      <c r="AD117" s="212"/>
      <c r="AE117" s="212"/>
      <c r="AF117" s="212"/>
      <c r="AG117" s="212"/>
      <c r="AH117" s="212"/>
      <c r="AI117" s="212"/>
      <c r="AJ117" s="213"/>
      <c r="AK117" s="213"/>
      <c r="AL117" s="213"/>
      <c r="AM117" s="213"/>
      <c r="AN117" s="213"/>
      <c r="AO117" s="213"/>
      <c r="AP117" s="213"/>
      <c r="AQ117" s="213"/>
      <c r="AR117" s="213"/>
      <c r="AS117" s="213"/>
      <c r="AT117" s="213"/>
      <c r="AU117" s="213"/>
      <c r="AV117" s="213"/>
      <c r="AW117" s="213"/>
      <c r="AX117" s="213"/>
      <c r="AY117" s="213"/>
      <c r="AZ117" s="213"/>
    </row>
    <row r="118" spans="27:52" s="49" customFormat="1" x14ac:dyDescent="0.35">
      <c r="AA118" s="213"/>
      <c r="AB118" s="212"/>
      <c r="AC118" s="212"/>
      <c r="AD118" s="212"/>
      <c r="AE118" s="212"/>
      <c r="AF118" s="212"/>
      <c r="AG118" s="212"/>
      <c r="AH118" s="212"/>
      <c r="AI118" s="212"/>
      <c r="AJ118" s="213"/>
      <c r="AK118" s="213"/>
      <c r="AL118" s="213"/>
      <c r="AM118" s="213"/>
      <c r="AN118" s="213"/>
      <c r="AO118" s="213"/>
      <c r="AP118" s="213"/>
      <c r="AQ118" s="213"/>
      <c r="AR118" s="213"/>
      <c r="AS118" s="213"/>
      <c r="AT118" s="213"/>
      <c r="AU118" s="213"/>
      <c r="AV118" s="213"/>
      <c r="AW118" s="213"/>
      <c r="AX118" s="213"/>
      <c r="AY118" s="213"/>
      <c r="AZ118" s="213"/>
    </row>
    <row r="119" spans="27:52" s="49" customFormat="1" x14ac:dyDescent="0.35">
      <c r="AA119" s="213"/>
      <c r="AB119" s="212"/>
      <c r="AC119" s="212"/>
      <c r="AD119" s="212"/>
      <c r="AE119" s="212"/>
      <c r="AF119" s="212"/>
      <c r="AG119" s="212"/>
      <c r="AH119" s="212"/>
      <c r="AI119" s="212"/>
      <c r="AJ119" s="213"/>
      <c r="AK119" s="213"/>
      <c r="AL119" s="213"/>
      <c r="AM119" s="213"/>
      <c r="AN119" s="213"/>
      <c r="AO119" s="213"/>
      <c r="AP119" s="213"/>
      <c r="AQ119" s="213"/>
      <c r="AR119" s="213"/>
      <c r="AS119" s="213"/>
      <c r="AT119" s="213"/>
      <c r="AU119" s="213"/>
      <c r="AV119" s="213"/>
      <c r="AW119" s="213"/>
      <c r="AX119" s="213"/>
      <c r="AY119" s="213"/>
      <c r="AZ119" s="213"/>
    </row>
    <row r="120" spans="27:52" s="49" customFormat="1" x14ac:dyDescent="0.35">
      <c r="AA120" s="213"/>
      <c r="AB120" s="212"/>
      <c r="AC120" s="212"/>
      <c r="AD120" s="212"/>
      <c r="AE120" s="212"/>
      <c r="AF120" s="212"/>
      <c r="AG120" s="212"/>
      <c r="AH120" s="212"/>
      <c r="AI120" s="212"/>
      <c r="AJ120" s="213"/>
      <c r="AK120" s="213"/>
      <c r="AL120" s="213"/>
      <c r="AM120" s="213"/>
      <c r="AN120" s="213"/>
      <c r="AO120" s="213"/>
      <c r="AP120" s="213"/>
      <c r="AQ120" s="213"/>
      <c r="AR120" s="213"/>
      <c r="AS120" s="213"/>
      <c r="AT120" s="213"/>
      <c r="AU120" s="213"/>
      <c r="AV120" s="213"/>
      <c r="AW120" s="213"/>
      <c r="AX120" s="213"/>
      <c r="AY120" s="213"/>
      <c r="AZ120" s="213"/>
    </row>
    <row r="121" spans="27:52" s="49" customFormat="1" x14ac:dyDescent="0.35">
      <c r="AA121" s="213"/>
      <c r="AB121" s="212"/>
      <c r="AC121" s="212"/>
      <c r="AD121" s="212"/>
      <c r="AE121" s="212"/>
      <c r="AF121" s="212"/>
      <c r="AG121" s="212"/>
      <c r="AH121" s="212"/>
      <c r="AI121" s="212"/>
      <c r="AJ121" s="213"/>
      <c r="AK121" s="213"/>
      <c r="AL121" s="213"/>
      <c r="AM121" s="213"/>
      <c r="AN121" s="213"/>
      <c r="AO121" s="213"/>
      <c r="AP121" s="213"/>
      <c r="AQ121" s="213"/>
      <c r="AR121" s="213"/>
      <c r="AS121" s="213"/>
      <c r="AT121" s="213"/>
      <c r="AU121" s="213"/>
      <c r="AV121" s="213"/>
      <c r="AW121" s="213"/>
      <c r="AX121" s="213"/>
      <c r="AY121" s="213"/>
      <c r="AZ121" s="213"/>
    </row>
    <row r="122" spans="27:52" s="49" customFormat="1" x14ac:dyDescent="0.35">
      <c r="AA122" s="213"/>
      <c r="AB122" s="212"/>
      <c r="AC122" s="212"/>
      <c r="AD122" s="212"/>
      <c r="AE122" s="212"/>
      <c r="AF122" s="212"/>
      <c r="AG122" s="212"/>
      <c r="AH122" s="212"/>
      <c r="AI122" s="212"/>
      <c r="AJ122" s="213"/>
      <c r="AK122" s="213"/>
      <c r="AL122" s="213"/>
      <c r="AM122" s="213"/>
      <c r="AN122" s="213"/>
      <c r="AO122" s="213"/>
      <c r="AP122" s="213"/>
      <c r="AQ122" s="213"/>
      <c r="AR122" s="213"/>
      <c r="AS122" s="213"/>
      <c r="AT122" s="213"/>
      <c r="AU122" s="213"/>
      <c r="AV122" s="213"/>
      <c r="AW122" s="213"/>
      <c r="AX122" s="213"/>
      <c r="AY122" s="213"/>
      <c r="AZ122" s="213"/>
    </row>
    <row r="123" spans="27:52" s="49" customFormat="1" x14ac:dyDescent="0.35">
      <c r="AA123" s="213"/>
      <c r="AB123" s="212"/>
      <c r="AC123" s="212"/>
      <c r="AD123" s="212"/>
      <c r="AE123" s="212"/>
      <c r="AF123" s="212"/>
      <c r="AG123" s="212"/>
      <c r="AH123" s="212"/>
      <c r="AI123" s="212"/>
      <c r="AJ123" s="213"/>
      <c r="AK123" s="213"/>
      <c r="AL123" s="213"/>
      <c r="AM123" s="213"/>
      <c r="AN123" s="213"/>
      <c r="AO123" s="213"/>
      <c r="AP123" s="213"/>
      <c r="AQ123" s="213"/>
      <c r="AR123" s="213"/>
      <c r="AS123" s="213"/>
      <c r="AT123" s="213"/>
      <c r="AU123" s="213"/>
      <c r="AV123" s="213"/>
      <c r="AW123" s="213"/>
      <c r="AX123" s="213"/>
      <c r="AY123" s="213"/>
      <c r="AZ123" s="213"/>
    </row>
    <row r="124" spans="27:52" s="49" customFormat="1" x14ac:dyDescent="0.35">
      <c r="AA124" s="213"/>
      <c r="AB124" s="212"/>
      <c r="AC124" s="212"/>
      <c r="AD124" s="212"/>
      <c r="AE124" s="212"/>
      <c r="AF124" s="212"/>
      <c r="AG124" s="212"/>
      <c r="AH124" s="212"/>
      <c r="AI124" s="212"/>
      <c r="AJ124" s="213"/>
      <c r="AK124" s="213"/>
      <c r="AL124" s="213"/>
      <c r="AM124" s="213"/>
      <c r="AN124" s="213"/>
      <c r="AO124" s="213"/>
      <c r="AP124" s="213"/>
      <c r="AQ124" s="213"/>
      <c r="AR124" s="213"/>
      <c r="AS124" s="213"/>
      <c r="AT124" s="213"/>
      <c r="AU124" s="213"/>
      <c r="AV124" s="213"/>
      <c r="AW124" s="213"/>
      <c r="AX124" s="213"/>
      <c r="AY124" s="213"/>
      <c r="AZ124" s="213"/>
    </row>
    <row r="125" spans="27:52" s="49" customFormat="1" x14ac:dyDescent="0.35">
      <c r="AA125" s="213"/>
      <c r="AB125" s="212"/>
      <c r="AC125" s="212"/>
      <c r="AD125" s="212"/>
      <c r="AE125" s="212"/>
      <c r="AF125" s="212"/>
      <c r="AG125" s="212"/>
      <c r="AH125" s="212"/>
      <c r="AI125" s="212"/>
      <c r="AJ125" s="213"/>
      <c r="AK125" s="213"/>
      <c r="AL125" s="213"/>
      <c r="AM125" s="213"/>
      <c r="AN125" s="213"/>
      <c r="AO125" s="213"/>
      <c r="AP125" s="213"/>
      <c r="AQ125" s="213"/>
      <c r="AR125" s="213"/>
      <c r="AS125" s="213"/>
      <c r="AT125" s="213"/>
      <c r="AU125" s="213"/>
      <c r="AV125" s="213"/>
      <c r="AW125" s="213"/>
      <c r="AX125" s="213"/>
      <c r="AY125" s="213"/>
      <c r="AZ125" s="213"/>
    </row>
    <row r="126" spans="27:52" s="49" customFormat="1" x14ac:dyDescent="0.35">
      <c r="AA126" s="213"/>
      <c r="AB126" s="212"/>
      <c r="AC126" s="212"/>
      <c r="AD126" s="212"/>
      <c r="AE126" s="212"/>
      <c r="AF126" s="212"/>
      <c r="AG126" s="212"/>
      <c r="AH126" s="212"/>
      <c r="AI126" s="212"/>
      <c r="AJ126" s="213"/>
      <c r="AK126" s="213"/>
      <c r="AL126" s="213"/>
      <c r="AM126" s="213"/>
      <c r="AN126" s="213"/>
      <c r="AO126" s="213"/>
      <c r="AP126" s="213"/>
      <c r="AQ126" s="213"/>
      <c r="AR126" s="213"/>
      <c r="AS126" s="213"/>
      <c r="AT126" s="213"/>
      <c r="AU126" s="213"/>
      <c r="AV126" s="213"/>
      <c r="AW126" s="213"/>
      <c r="AX126" s="213"/>
      <c r="AY126" s="213"/>
      <c r="AZ126" s="213"/>
    </row>
    <row r="127" spans="27:52" s="49" customFormat="1" x14ac:dyDescent="0.35">
      <c r="AA127" s="213"/>
      <c r="AB127" s="212"/>
      <c r="AC127" s="212"/>
      <c r="AD127" s="212"/>
      <c r="AE127" s="212"/>
      <c r="AF127" s="212"/>
      <c r="AG127" s="212"/>
      <c r="AH127" s="212"/>
      <c r="AI127" s="212"/>
      <c r="AJ127" s="213"/>
      <c r="AK127" s="213"/>
      <c r="AL127" s="213"/>
      <c r="AM127" s="213"/>
      <c r="AN127" s="213"/>
      <c r="AO127" s="213"/>
      <c r="AP127" s="213"/>
      <c r="AQ127" s="213"/>
      <c r="AR127" s="213"/>
      <c r="AS127" s="213"/>
      <c r="AT127" s="213"/>
      <c r="AU127" s="213"/>
      <c r="AV127" s="213"/>
      <c r="AW127" s="213"/>
      <c r="AX127" s="213"/>
      <c r="AY127" s="213"/>
      <c r="AZ127" s="213"/>
    </row>
    <row r="128" spans="27:52" s="49" customFormat="1" x14ac:dyDescent="0.35">
      <c r="AA128" s="213"/>
      <c r="AB128" s="212"/>
      <c r="AC128" s="212"/>
      <c r="AD128" s="212"/>
      <c r="AE128" s="212"/>
      <c r="AF128" s="212"/>
      <c r="AG128" s="212"/>
      <c r="AH128" s="212"/>
      <c r="AI128" s="212"/>
      <c r="AJ128" s="213"/>
      <c r="AK128" s="213"/>
      <c r="AL128" s="213"/>
      <c r="AM128" s="213"/>
      <c r="AN128" s="213"/>
      <c r="AO128" s="213"/>
      <c r="AP128" s="213"/>
      <c r="AQ128" s="213"/>
      <c r="AR128" s="213"/>
      <c r="AS128" s="213"/>
      <c r="AT128" s="213"/>
      <c r="AU128" s="213"/>
      <c r="AV128" s="213"/>
      <c r="AW128" s="213"/>
      <c r="AX128" s="213"/>
      <c r="AY128" s="213"/>
      <c r="AZ128" s="213"/>
    </row>
    <row r="129" spans="27:52" s="49" customFormat="1" x14ac:dyDescent="0.35">
      <c r="AA129" s="213"/>
      <c r="AB129" s="212"/>
      <c r="AC129" s="212"/>
      <c r="AD129" s="212"/>
      <c r="AE129" s="212"/>
      <c r="AF129" s="212"/>
      <c r="AG129" s="212"/>
      <c r="AH129" s="212"/>
      <c r="AI129" s="212"/>
      <c r="AJ129" s="213"/>
      <c r="AK129" s="213"/>
      <c r="AL129" s="213"/>
      <c r="AM129" s="213"/>
      <c r="AN129" s="213"/>
      <c r="AO129" s="213"/>
      <c r="AP129" s="213"/>
      <c r="AQ129" s="213"/>
      <c r="AR129" s="213"/>
      <c r="AS129" s="213"/>
      <c r="AT129" s="213"/>
      <c r="AU129" s="213"/>
      <c r="AV129" s="213"/>
      <c r="AW129" s="213"/>
      <c r="AX129" s="213"/>
      <c r="AY129" s="213"/>
      <c r="AZ129" s="213"/>
    </row>
    <row r="130" spans="27:52" s="49" customFormat="1" x14ac:dyDescent="0.35">
      <c r="AA130" s="213"/>
      <c r="AB130" s="212"/>
      <c r="AC130" s="212"/>
      <c r="AD130" s="212"/>
      <c r="AE130" s="212"/>
      <c r="AF130" s="212"/>
      <c r="AG130" s="212"/>
      <c r="AH130" s="212"/>
      <c r="AI130" s="212"/>
      <c r="AJ130" s="213"/>
      <c r="AK130" s="213"/>
      <c r="AL130" s="213"/>
      <c r="AM130" s="213"/>
      <c r="AN130" s="213"/>
      <c r="AO130" s="213"/>
      <c r="AP130" s="213"/>
      <c r="AQ130" s="213"/>
      <c r="AR130" s="213"/>
      <c r="AS130" s="213"/>
      <c r="AT130" s="213"/>
      <c r="AU130" s="213"/>
      <c r="AV130" s="213"/>
      <c r="AW130" s="213"/>
      <c r="AX130" s="213"/>
      <c r="AY130" s="213"/>
      <c r="AZ130" s="213"/>
    </row>
    <row r="131" spans="27:52" s="49" customFormat="1" x14ac:dyDescent="0.35">
      <c r="AA131" s="213"/>
      <c r="AB131" s="212"/>
      <c r="AC131" s="212"/>
      <c r="AD131" s="212"/>
      <c r="AE131" s="212"/>
      <c r="AF131" s="212"/>
      <c r="AG131" s="212"/>
      <c r="AH131" s="212"/>
      <c r="AI131" s="212"/>
      <c r="AJ131" s="213"/>
      <c r="AK131" s="213"/>
      <c r="AL131" s="213"/>
      <c r="AM131" s="213"/>
      <c r="AN131" s="213"/>
      <c r="AO131" s="213"/>
      <c r="AP131" s="213"/>
      <c r="AQ131" s="213"/>
      <c r="AR131" s="213"/>
      <c r="AS131" s="213"/>
      <c r="AT131" s="213"/>
      <c r="AU131" s="213"/>
      <c r="AV131" s="213"/>
      <c r="AW131" s="213"/>
      <c r="AX131" s="213"/>
      <c r="AY131" s="213"/>
      <c r="AZ131" s="213"/>
    </row>
    <row r="132" spans="27:52" s="49" customFormat="1" x14ac:dyDescent="0.35">
      <c r="AA132" s="213"/>
      <c r="AB132" s="212"/>
      <c r="AC132" s="212"/>
      <c r="AD132" s="212"/>
      <c r="AE132" s="212"/>
      <c r="AF132" s="212"/>
      <c r="AG132" s="212"/>
      <c r="AH132" s="212"/>
      <c r="AI132" s="212"/>
      <c r="AJ132" s="213"/>
      <c r="AK132" s="213"/>
      <c r="AL132" s="213"/>
      <c r="AM132" s="213"/>
      <c r="AN132" s="213"/>
      <c r="AO132" s="213"/>
      <c r="AP132" s="213"/>
      <c r="AQ132" s="213"/>
      <c r="AR132" s="213"/>
      <c r="AS132" s="213"/>
      <c r="AT132" s="213"/>
      <c r="AU132" s="213"/>
      <c r="AV132" s="213"/>
      <c r="AW132" s="213"/>
      <c r="AX132" s="213"/>
      <c r="AY132" s="213"/>
      <c r="AZ132" s="213"/>
    </row>
    <row r="133" spans="27:52" s="49" customFormat="1" x14ac:dyDescent="0.35">
      <c r="AA133" s="213"/>
      <c r="AB133" s="212"/>
      <c r="AC133" s="212"/>
      <c r="AD133" s="212"/>
      <c r="AE133" s="212"/>
      <c r="AF133" s="212"/>
      <c r="AG133" s="212"/>
      <c r="AH133" s="212"/>
      <c r="AI133" s="212"/>
      <c r="AJ133" s="213"/>
      <c r="AK133" s="213"/>
      <c r="AL133" s="213"/>
      <c r="AM133" s="213"/>
      <c r="AN133" s="213"/>
      <c r="AO133" s="213"/>
      <c r="AP133" s="213"/>
      <c r="AQ133" s="213"/>
      <c r="AR133" s="213"/>
      <c r="AS133" s="213"/>
      <c r="AT133" s="213"/>
      <c r="AU133" s="213"/>
      <c r="AV133" s="213"/>
      <c r="AW133" s="213"/>
      <c r="AX133" s="213"/>
      <c r="AY133" s="213"/>
      <c r="AZ133" s="213"/>
    </row>
    <row r="134" spans="27:52" s="49" customFormat="1" x14ac:dyDescent="0.35">
      <c r="AA134" s="213"/>
      <c r="AB134" s="212"/>
      <c r="AC134" s="212"/>
      <c r="AD134" s="212"/>
      <c r="AE134" s="212"/>
      <c r="AF134" s="212"/>
      <c r="AG134" s="212"/>
      <c r="AH134" s="212"/>
      <c r="AI134" s="212"/>
      <c r="AJ134" s="213"/>
      <c r="AK134" s="213"/>
      <c r="AL134" s="213"/>
      <c r="AM134" s="213"/>
      <c r="AN134" s="213"/>
      <c r="AO134" s="213"/>
      <c r="AP134" s="213"/>
      <c r="AQ134" s="213"/>
      <c r="AR134" s="213"/>
      <c r="AS134" s="213"/>
      <c r="AT134" s="213"/>
      <c r="AU134" s="213"/>
      <c r="AV134" s="213"/>
      <c r="AW134" s="213"/>
      <c r="AX134" s="213"/>
      <c r="AY134" s="213"/>
      <c r="AZ134" s="213"/>
    </row>
    <row r="135" spans="27:52" s="49" customFormat="1" x14ac:dyDescent="0.35">
      <c r="AA135" s="213"/>
      <c r="AB135" s="212"/>
      <c r="AC135" s="212"/>
      <c r="AD135" s="212"/>
      <c r="AE135" s="212"/>
      <c r="AF135" s="212"/>
      <c r="AG135" s="212"/>
      <c r="AH135" s="212"/>
      <c r="AI135" s="212"/>
      <c r="AJ135" s="213"/>
      <c r="AK135" s="213"/>
      <c r="AL135" s="213"/>
      <c r="AM135" s="213"/>
      <c r="AN135" s="213"/>
      <c r="AO135" s="213"/>
      <c r="AP135" s="213"/>
      <c r="AQ135" s="213"/>
      <c r="AR135" s="213"/>
      <c r="AS135" s="213"/>
      <c r="AT135" s="213"/>
      <c r="AU135" s="213"/>
      <c r="AV135" s="213"/>
      <c r="AW135" s="213"/>
      <c r="AX135" s="213"/>
      <c r="AY135" s="213"/>
      <c r="AZ135" s="213"/>
    </row>
    <row r="136" spans="27:52" s="49" customFormat="1" x14ac:dyDescent="0.35">
      <c r="AA136" s="213"/>
      <c r="AB136" s="212"/>
      <c r="AC136" s="212"/>
      <c r="AD136" s="212"/>
      <c r="AE136" s="212"/>
      <c r="AF136" s="212"/>
      <c r="AG136" s="212"/>
      <c r="AH136" s="212"/>
      <c r="AI136" s="212"/>
      <c r="AJ136" s="213"/>
      <c r="AK136" s="213"/>
      <c r="AL136" s="213"/>
      <c r="AM136" s="213"/>
      <c r="AN136" s="213"/>
      <c r="AO136" s="213"/>
      <c r="AP136" s="213"/>
      <c r="AQ136" s="213"/>
      <c r="AR136" s="213"/>
      <c r="AS136" s="213"/>
      <c r="AT136" s="213"/>
      <c r="AU136" s="213"/>
      <c r="AV136" s="213"/>
      <c r="AW136" s="213"/>
      <c r="AX136" s="213"/>
      <c r="AY136" s="213"/>
      <c r="AZ136" s="213"/>
    </row>
    <row r="137" spans="27:52" s="49" customFormat="1" x14ac:dyDescent="0.35">
      <c r="AA137" s="213"/>
      <c r="AB137" s="212"/>
      <c r="AC137" s="212"/>
      <c r="AD137" s="212"/>
      <c r="AE137" s="212"/>
      <c r="AF137" s="212"/>
      <c r="AG137" s="212"/>
      <c r="AH137" s="212"/>
      <c r="AI137" s="212"/>
      <c r="AJ137" s="213"/>
      <c r="AK137" s="213"/>
      <c r="AL137" s="213"/>
      <c r="AM137" s="213"/>
      <c r="AN137" s="213"/>
      <c r="AO137" s="213"/>
      <c r="AP137" s="213"/>
      <c r="AQ137" s="213"/>
      <c r="AR137" s="213"/>
      <c r="AS137" s="213"/>
      <c r="AT137" s="213"/>
      <c r="AU137" s="213"/>
      <c r="AV137" s="213"/>
      <c r="AW137" s="213"/>
      <c r="AX137" s="213"/>
      <c r="AY137" s="213"/>
      <c r="AZ137" s="213"/>
    </row>
    <row r="138" spans="27:52" s="49" customFormat="1" x14ac:dyDescent="0.35">
      <c r="AA138" s="213"/>
      <c r="AB138" s="212"/>
      <c r="AC138" s="212"/>
      <c r="AD138" s="212"/>
      <c r="AE138" s="212"/>
      <c r="AF138" s="212"/>
      <c r="AG138" s="212"/>
      <c r="AH138" s="212"/>
      <c r="AI138" s="212"/>
      <c r="AJ138" s="213"/>
      <c r="AK138" s="213"/>
      <c r="AL138" s="213"/>
      <c r="AM138" s="213"/>
      <c r="AN138" s="213"/>
      <c r="AO138" s="213"/>
      <c r="AP138" s="213"/>
      <c r="AQ138" s="213"/>
      <c r="AR138" s="213"/>
      <c r="AS138" s="213"/>
      <c r="AT138" s="213"/>
      <c r="AU138" s="213"/>
      <c r="AV138" s="213"/>
      <c r="AW138" s="213"/>
      <c r="AX138" s="213"/>
      <c r="AY138" s="213"/>
      <c r="AZ138" s="213"/>
    </row>
    <row r="139" spans="27:52" s="49" customFormat="1" x14ac:dyDescent="0.35">
      <c r="AA139" s="213"/>
      <c r="AB139" s="212"/>
      <c r="AC139" s="212"/>
      <c r="AD139" s="212"/>
      <c r="AE139" s="212"/>
      <c r="AF139" s="212"/>
      <c r="AG139" s="212"/>
      <c r="AH139" s="212"/>
      <c r="AI139" s="212"/>
      <c r="AJ139" s="213"/>
      <c r="AK139" s="213"/>
      <c r="AL139" s="213"/>
      <c r="AM139" s="213"/>
      <c r="AN139" s="213"/>
      <c r="AO139" s="213"/>
      <c r="AP139" s="213"/>
      <c r="AQ139" s="213"/>
      <c r="AR139" s="213"/>
      <c r="AS139" s="213"/>
      <c r="AT139" s="213"/>
      <c r="AU139" s="213"/>
      <c r="AV139" s="213"/>
      <c r="AW139" s="213"/>
      <c r="AX139" s="213"/>
      <c r="AY139" s="213"/>
      <c r="AZ139" s="213"/>
    </row>
    <row r="140" spans="27:52" s="49" customFormat="1" x14ac:dyDescent="0.35">
      <c r="AA140" s="213"/>
      <c r="AB140" s="212"/>
      <c r="AC140" s="212"/>
      <c r="AD140" s="212"/>
      <c r="AE140" s="212"/>
      <c r="AF140" s="212"/>
      <c r="AG140" s="212"/>
      <c r="AH140" s="212"/>
      <c r="AI140" s="212"/>
      <c r="AJ140" s="213"/>
      <c r="AK140" s="213"/>
      <c r="AL140" s="213"/>
      <c r="AM140" s="213"/>
      <c r="AN140" s="213"/>
      <c r="AO140" s="213"/>
      <c r="AP140" s="213"/>
      <c r="AQ140" s="213"/>
      <c r="AR140" s="213"/>
      <c r="AS140" s="213"/>
      <c r="AT140" s="213"/>
      <c r="AU140" s="213"/>
      <c r="AV140" s="213"/>
      <c r="AW140" s="213"/>
      <c r="AX140" s="213"/>
      <c r="AY140" s="213"/>
      <c r="AZ140" s="213"/>
    </row>
    <row r="141" spans="27:52" s="49" customFormat="1" x14ac:dyDescent="0.35">
      <c r="AA141" s="213"/>
      <c r="AB141" s="212"/>
      <c r="AC141" s="212"/>
      <c r="AD141" s="212"/>
      <c r="AE141" s="212"/>
      <c r="AF141" s="212"/>
      <c r="AG141" s="212"/>
      <c r="AH141" s="212"/>
      <c r="AI141" s="212"/>
      <c r="AJ141" s="213"/>
      <c r="AK141" s="213"/>
      <c r="AL141" s="213"/>
      <c r="AM141" s="213"/>
      <c r="AN141" s="213"/>
      <c r="AO141" s="213"/>
      <c r="AP141" s="213"/>
      <c r="AQ141" s="213"/>
      <c r="AR141" s="213"/>
      <c r="AS141" s="213"/>
      <c r="AT141" s="213"/>
      <c r="AU141" s="213"/>
      <c r="AV141" s="213"/>
      <c r="AW141" s="213"/>
      <c r="AX141" s="213"/>
      <c r="AY141" s="213"/>
      <c r="AZ141" s="213"/>
    </row>
    <row r="142" spans="27:52" s="49" customFormat="1" x14ac:dyDescent="0.35">
      <c r="AA142" s="213"/>
      <c r="AB142" s="212"/>
      <c r="AC142" s="212"/>
      <c r="AD142" s="212"/>
      <c r="AE142" s="212"/>
      <c r="AF142" s="212"/>
      <c r="AG142" s="212"/>
      <c r="AH142" s="212"/>
      <c r="AI142" s="212"/>
      <c r="AJ142" s="213"/>
      <c r="AK142" s="213"/>
      <c r="AL142" s="213"/>
      <c r="AM142" s="213"/>
      <c r="AN142" s="213"/>
      <c r="AO142" s="213"/>
      <c r="AP142" s="213"/>
      <c r="AQ142" s="213"/>
      <c r="AR142" s="213"/>
      <c r="AS142" s="213"/>
      <c r="AT142" s="213"/>
      <c r="AU142" s="213"/>
      <c r="AV142" s="213"/>
      <c r="AW142" s="213"/>
      <c r="AX142" s="213"/>
      <c r="AY142" s="213"/>
      <c r="AZ142" s="213"/>
    </row>
    <row r="143" spans="27:52" s="49" customFormat="1" x14ac:dyDescent="0.35">
      <c r="AA143" s="213"/>
      <c r="AB143" s="212"/>
      <c r="AC143" s="212"/>
      <c r="AD143" s="212"/>
      <c r="AE143" s="212"/>
      <c r="AF143" s="212"/>
      <c r="AG143" s="212"/>
      <c r="AH143" s="212"/>
      <c r="AI143" s="212"/>
      <c r="AJ143" s="213"/>
      <c r="AK143" s="213"/>
      <c r="AL143" s="213"/>
      <c r="AM143" s="213"/>
      <c r="AN143" s="213"/>
      <c r="AO143" s="213"/>
      <c r="AP143" s="213"/>
      <c r="AQ143" s="213"/>
      <c r="AR143" s="213"/>
      <c r="AS143" s="213"/>
      <c r="AT143" s="213"/>
      <c r="AU143" s="213"/>
      <c r="AV143" s="213"/>
      <c r="AW143" s="213"/>
      <c r="AX143" s="213"/>
      <c r="AY143" s="213"/>
      <c r="AZ143" s="213"/>
    </row>
    <row r="144" spans="27:52" s="49" customFormat="1" x14ac:dyDescent="0.35">
      <c r="AA144" s="213"/>
      <c r="AB144" s="212"/>
      <c r="AC144" s="212"/>
      <c r="AD144" s="212"/>
      <c r="AE144" s="212"/>
      <c r="AF144" s="212"/>
      <c r="AG144" s="212"/>
      <c r="AH144" s="212"/>
      <c r="AI144" s="212"/>
      <c r="AJ144" s="213"/>
      <c r="AK144" s="213"/>
      <c r="AL144" s="213"/>
      <c r="AM144" s="213"/>
      <c r="AN144" s="213"/>
      <c r="AO144" s="213"/>
      <c r="AP144" s="213"/>
      <c r="AQ144" s="213"/>
      <c r="AR144" s="213"/>
      <c r="AS144" s="213"/>
      <c r="AT144" s="213"/>
      <c r="AU144" s="213"/>
      <c r="AV144" s="213"/>
      <c r="AW144" s="213"/>
      <c r="AX144" s="213"/>
      <c r="AY144" s="213"/>
      <c r="AZ144" s="213"/>
    </row>
    <row r="145" spans="27:52" s="49" customFormat="1" x14ac:dyDescent="0.35">
      <c r="AA145" s="213"/>
      <c r="AB145" s="212"/>
      <c r="AC145" s="212"/>
      <c r="AD145" s="212"/>
      <c r="AE145" s="212"/>
      <c r="AF145" s="212"/>
      <c r="AG145" s="212"/>
      <c r="AH145" s="212"/>
      <c r="AI145" s="212"/>
      <c r="AJ145" s="213"/>
      <c r="AK145" s="213"/>
      <c r="AL145" s="213"/>
      <c r="AM145" s="213"/>
      <c r="AN145" s="213"/>
      <c r="AO145" s="213"/>
      <c r="AP145" s="213"/>
      <c r="AQ145" s="213"/>
      <c r="AR145" s="213"/>
      <c r="AS145" s="213"/>
      <c r="AT145" s="213"/>
      <c r="AU145" s="213"/>
      <c r="AV145" s="213"/>
      <c r="AW145" s="213"/>
      <c r="AX145" s="213"/>
      <c r="AY145" s="213"/>
      <c r="AZ145" s="213"/>
    </row>
    <row r="146" spans="27:52" s="49" customFormat="1" x14ac:dyDescent="0.35">
      <c r="AA146" s="213"/>
      <c r="AB146" s="212"/>
      <c r="AC146" s="212"/>
      <c r="AD146" s="212"/>
      <c r="AE146" s="212"/>
      <c r="AF146" s="212"/>
      <c r="AG146" s="212"/>
      <c r="AH146" s="212"/>
      <c r="AI146" s="212"/>
      <c r="AJ146" s="213"/>
      <c r="AK146" s="213"/>
      <c r="AL146" s="213"/>
      <c r="AM146" s="213"/>
      <c r="AN146" s="213"/>
      <c r="AO146" s="213"/>
      <c r="AP146" s="213"/>
      <c r="AQ146" s="213"/>
      <c r="AR146" s="213"/>
      <c r="AS146" s="213"/>
      <c r="AT146" s="213"/>
      <c r="AU146" s="213"/>
      <c r="AV146" s="213"/>
      <c r="AW146" s="213"/>
      <c r="AX146" s="213"/>
      <c r="AY146" s="213"/>
      <c r="AZ146" s="213"/>
    </row>
    <row r="147" spans="27:52" s="49" customFormat="1" x14ac:dyDescent="0.35">
      <c r="AA147" s="213"/>
      <c r="AB147" s="212"/>
      <c r="AC147" s="212"/>
      <c r="AD147" s="212"/>
      <c r="AE147" s="212"/>
      <c r="AF147" s="212"/>
      <c r="AG147" s="212"/>
      <c r="AH147" s="212"/>
      <c r="AI147" s="212"/>
      <c r="AJ147" s="213"/>
      <c r="AK147" s="213"/>
      <c r="AL147" s="213"/>
      <c r="AM147" s="213"/>
      <c r="AN147" s="213"/>
      <c r="AO147" s="213"/>
      <c r="AP147" s="213"/>
      <c r="AQ147" s="213"/>
      <c r="AR147" s="213"/>
      <c r="AS147" s="213"/>
      <c r="AT147" s="213"/>
      <c r="AU147" s="213"/>
      <c r="AV147" s="213"/>
      <c r="AW147" s="213"/>
      <c r="AX147" s="213"/>
      <c r="AY147" s="213"/>
      <c r="AZ147" s="213"/>
    </row>
    <row r="148" spans="27:52" s="49" customFormat="1" x14ac:dyDescent="0.35">
      <c r="AA148" s="213"/>
      <c r="AB148" s="212"/>
      <c r="AC148" s="212"/>
      <c r="AD148" s="212"/>
      <c r="AE148" s="212"/>
      <c r="AF148" s="212"/>
      <c r="AG148" s="212"/>
      <c r="AH148" s="212"/>
      <c r="AI148" s="212"/>
      <c r="AJ148" s="213"/>
      <c r="AK148" s="213"/>
      <c r="AL148" s="213"/>
      <c r="AM148" s="213"/>
      <c r="AN148" s="213"/>
      <c r="AO148" s="213"/>
      <c r="AP148" s="213"/>
      <c r="AQ148" s="213"/>
      <c r="AR148" s="213"/>
      <c r="AS148" s="213"/>
      <c r="AT148" s="213"/>
      <c r="AU148" s="213"/>
      <c r="AV148" s="213"/>
      <c r="AW148" s="213"/>
      <c r="AX148" s="213"/>
      <c r="AY148" s="213"/>
      <c r="AZ148" s="213"/>
    </row>
    <row r="149" spans="27:52" s="49" customFormat="1" x14ac:dyDescent="0.35">
      <c r="AA149" s="213"/>
      <c r="AB149" s="212"/>
      <c r="AC149" s="212"/>
      <c r="AD149" s="212"/>
      <c r="AE149" s="212"/>
      <c r="AF149" s="212"/>
      <c r="AG149" s="212"/>
      <c r="AH149" s="212"/>
      <c r="AI149" s="212"/>
      <c r="AJ149" s="213"/>
      <c r="AK149" s="213"/>
      <c r="AL149" s="213"/>
      <c r="AM149" s="213"/>
      <c r="AN149" s="213"/>
      <c r="AO149" s="213"/>
      <c r="AP149" s="213"/>
      <c r="AQ149" s="213"/>
      <c r="AR149" s="213"/>
      <c r="AS149" s="213"/>
      <c r="AT149" s="213"/>
      <c r="AU149" s="213"/>
      <c r="AV149" s="213"/>
      <c r="AW149" s="213"/>
      <c r="AX149" s="213"/>
      <c r="AY149" s="213"/>
      <c r="AZ149" s="213"/>
    </row>
    <row r="150" spans="27:52" s="49" customFormat="1" x14ac:dyDescent="0.35">
      <c r="AA150" s="213"/>
      <c r="AB150" s="212"/>
      <c r="AC150" s="212"/>
      <c r="AD150" s="212"/>
      <c r="AE150" s="212"/>
      <c r="AF150" s="212"/>
      <c r="AG150" s="212"/>
      <c r="AH150" s="212"/>
      <c r="AI150" s="212"/>
      <c r="AJ150" s="213"/>
      <c r="AK150" s="213"/>
      <c r="AL150" s="213"/>
      <c r="AM150" s="213"/>
      <c r="AN150" s="213"/>
      <c r="AO150" s="213"/>
      <c r="AP150" s="213"/>
      <c r="AQ150" s="213"/>
      <c r="AR150" s="213"/>
      <c r="AS150" s="213"/>
      <c r="AT150" s="213"/>
      <c r="AU150" s="213"/>
      <c r="AV150" s="213"/>
      <c r="AW150" s="213"/>
      <c r="AX150" s="213"/>
      <c r="AY150" s="213"/>
      <c r="AZ150" s="213"/>
    </row>
    <row r="151" spans="27:52" s="49" customFormat="1" x14ac:dyDescent="0.35">
      <c r="AA151" s="213"/>
      <c r="AB151" s="212"/>
      <c r="AC151" s="212"/>
      <c r="AD151" s="212"/>
      <c r="AE151" s="212"/>
      <c r="AF151" s="212"/>
      <c r="AG151" s="212"/>
      <c r="AH151" s="212"/>
      <c r="AI151" s="212"/>
      <c r="AJ151" s="213"/>
      <c r="AK151" s="213"/>
      <c r="AL151" s="213"/>
      <c r="AM151" s="213"/>
      <c r="AN151" s="213"/>
      <c r="AO151" s="213"/>
      <c r="AP151" s="213"/>
      <c r="AQ151" s="213"/>
      <c r="AR151" s="213"/>
      <c r="AS151" s="213"/>
      <c r="AT151" s="213"/>
      <c r="AU151" s="213"/>
      <c r="AV151" s="213"/>
      <c r="AW151" s="213"/>
      <c r="AX151" s="213"/>
      <c r="AY151" s="213"/>
      <c r="AZ151" s="213"/>
    </row>
    <row r="152" spans="27:52" s="49" customFormat="1" x14ac:dyDescent="0.35">
      <c r="AA152" s="213"/>
      <c r="AB152" s="212"/>
      <c r="AC152" s="212"/>
      <c r="AD152" s="212"/>
      <c r="AE152" s="212"/>
      <c r="AF152" s="212"/>
      <c r="AG152" s="212"/>
      <c r="AH152" s="212"/>
      <c r="AI152" s="212"/>
      <c r="AJ152" s="213"/>
      <c r="AK152" s="213"/>
      <c r="AL152" s="213"/>
      <c r="AM152" s="213"/>
      <c r="AN152" s="213"/>
      <c r="AO152" s="213"/>
      <c r="AP152" s="213"/>
      <c r="AQ152" s="213"/>
      <c r="AR152" s="213"/>
      <c r="AS152" s="213"/>
      <c r="AT152" s="213"/>
      <c r="AU152" s="213"/>
      <c r="AV152" s="213"/>
      <c r="AW152" s="213"/>
      <c r="AX152" s="213"/>
      <c r="AY152" s="213"/>
      <c r="AZ152" s="213"/>
    </row>
    <row r="153" spans="27:52" s="49" customFormat="1" x14ac:dyDescent="0.35">
      <c r="AA153" s="213"/>
      <c r="AB153" s="212"/>
      <c r="AC153" s="212"/>
      <c r="AD153" s="212"/>
      <c r="AE153" s="212"/>
      <c r="AF153" s="212"/>
      <c r="AG153" s="212"/>
      <c r="AH153" s="212"/>
      <c r="AI153" s="212"/>
      <c r="AJ153" s="213"/>
      <c r="AK153" s="213"/>
      <c r="AL153" s="213"/>
      <c r="AM153" s="213"/>
      <c r="AN153" s="213"/>
      <c r="AO153" s="213"/>
      <c r="AP153" s="213"/>
      <c r="AQ153" s="213"/>
      <c r="AR153" s="213"/>
      <c r="AS153" s="213"/>
      <c r="AT153" s="213"/>
      <c r="AU153" s="213"/>
      <c r="AV153" s="213"/>
      <c r="AW153" s="213"/>
      <c r="AX153" s="213"/>
      <c r="AY153" s="213"/>
      <c r="AZ153" s="213"/>
    </row>
    <row r="154" spans="27:52" s="49" customFormat="1" x14ac:dyDescent="0.35">
      <c r="AA154" s="213"/>
      <c r="AB154" s="212"/>
      <c r="AC154" s="212"/>
      <c r="AD154" s="212"/>
      <c r="AE154" s="212"/>
      <c r="AF154" s="212"/>
      <c r="AG154" s="212"/>
      <c r="AH154" s="212"/>
      <c r="AI154" s="212"/>
      <c r="AJ154" s="213"/>
      <c r="AK154" s="213"/>
      <c r="AL154" s="213"/>
      <c r="AM154" s="213"/>
      <c r="AN154" s="213"/>
      <c r="AO154" s="213"/>
      <c r="AP154" s="213"/>
      <c r="AQ154" s="213"/>
      <c r="AR154" s="213"/>
      <c r="AS154" s="213"/>
      <c r="AT154" s="213"/>
      <c r="AU154" s="213"/>
      <c r="AV154" s="213"/>
      <c r="AW154" s="213"/>
      <c r="AX154" s="213"/>
      <c r="AY154" s="213"/>
      <c r="AZ154" s="213"/>
    </row>
    <row r="155" spans="27:52" s="49" customFormat="1" x14ac:dyDescent="0.35">
      <c r="AA155" s="213"/>
      <c r="AB155" s="212"/>
      <c r="AC155" s="212"/>
      <c r="AD155" s="212"/>
      <c r="AE155" s="212"/>
      <c r="AF155" s="212"/>
      <c r="AG155" s="212"/>
      <c r="AH155" s="212"/>
      <c r="AI155" s="212"/>
      <c r="AJ155" s="213"/>
      <c r="AK155" s="213"/>
      <c r="AL155" s="213"/>
      <c r="AM155" s="213"/>
      <c r="AN155" s="213"/>
      <c r="AO155" s="213"/>
      <c r="AP155" s="213"/>
      <c r="AQ155" s="213"/>
      <c r="AR155" s="213"/>
      <c r="AS155" s="213"/>
      <c r="AT155" s="213"/>
      <c r="AU155" s="213"/>
      <c r="AV155" s="213"/>
      <c r="AW155" s="213"/>
      <c r="AX155" s="213"/>
      <c r="AY155" s="213"/>
      <c r="AZ155" s="213"/>
    </row>
    <row r="156" spans="27:52" s="49" customFormat="1" x14ac:dyDescent="0.35">
      <c r="AA156" s="213"/>
      <c r="AB156" s="212"/>
      <c r="AC156" s="212"/>
      <c r="AD156" s="212"/>
      <c r="AE156" s="212"/>
      <c r="AF156" s="212"/>
      <c r="AG156" s="212"/>
      <c r="AH156" s="212"/>
      <c r="AI156" s="212"/>
      <c r="AJ156" s="213"/>
      <c r="AK156" s="213"/>
      <c r="AL156" s="213"/>
      <c r="AM156" s="213"/>
      <c r="AN156" s="213"/>
      <c r="AO156" s="213"/>
      <c r="AP156" s="213"/>
      <c r="AQ156" s="213"/>
      <c r="AR156" s="213"/>
      <c r="AS156" s="213"/>
      <c r="AT156" s="213"/>
      <c r="AU156" s="213"/>
      <c r="AV156" s="213"/>
      <c r="AW156" s="213"/>
      <c r="AX156" s="213"/>
      <c r="AY156" s="213"/>
      <c r="AZ156" s="213"/>
    </row>
    <row r="157" spans="27:52" s="49" customFormat="1" x14ac:dyDescent="0.35">
      <c r="AA157" s="213"/>
      <c r="AB157" s="212"/>
      <c r="AC157" s="212"/>
      <c r="AD157" s="212"/>
      <c r="AE157" s="212"/>
      <c r="AF157" s="212"/>
      <c r="AG157" s="212"/>
      <c r="AH157" s="212"/>
      <c r="AI157" s="212"/>
      <c r="AJ157" s="213"/>
      <c r="AK157" s="213"/>
      <c r="AL157" s="213"/>
      <c r="AM157" s="213"/>
      <c r="AN157" s="213"/>
      <c r="AO157" s="213"/>
      <c r="AP157" s="213"/>
      <c r="AQ157" s="213"/>
      <c r="AR157" s="213"/>
      <c r="AS157" s="213"/>
      <c r="AT157" s="213"/>
      <c r="AU157" s="213"/>
      <c r="AV157" s="213"/>
      <c r="AW157" s="213"/>
      <c r="AX157" s="213"/>
      <c r="AY157" s="213"/>
      <c r="AZ157" s="213"/>
    </row>
    <row r="158" spans="27:52" s="49" customFormat="1" x14ac:dyDescent="0.35">
      <c r="AA158" s="213"/>
      <c r="AB158" s="212"/>
      <c r="AC158" s="212"/>
      <c r="AD158" s="212"/>
      <c r="AE158" s="212"/>
      <c r="AF158" s="212"/>
      <c r="AG158" s="212"/>
      <c r="AH158" s="212"/>
      <c r="AI158" s="212"/>
      <c r="AJ158" s="213"/>
      <c r="AK158" s="213"/>
      <c r="AL158" s="213"/>
      <c r="AM158" s="213"/>
      <c r="AN158" s="213"/>
      <c r="AO158" s="213"/>
      <c r="AP158" s="213"/>
      <c r="AQ158" s="213"/>
      <c r="AR158" s="213"/>
      <c r="AS158" s="213"/>
      <c r="AT158" s="213"/>
      <c r="AU158" s="213"/>
      <c r="AV158" s="213"/>
      <c r="AW158" s="213"/>
      <c r="AX158" s="213"/>
      <c r="AY158" s="213"/>
      <c r="AZ158" s="213"/>
    </row>
  </sheetData>
  <sheetProtection algorithmName="SHA-512" hashValue="5f+zoPpR+8zv0EPxxWELF+Eq/kBh3mDGXOD20BUyxDUK0xkppl7Bhuw2CG5cXROAzrfEcrPneiapDtGjMh5sSw==" saltValue="WU0iDPC0sHJhOKjVKxR49w==" spinCount="100000" sheet="1" objects="1" scenarios="1"/>
  <mergeCells count="57">
    <mergeCell ref="E32:F32"/>
    <mergeCell ref="E33:F33"/>
    <mergeCell ref="E34:F34"/>
    <mergeCell ref="E35:F35"/>
    <mergeCell ref="E36:F36"/>
    <mergeCell ref="E24:G24"/>
    <mergeCell ref="E25:G25"/>
    <mergeCell ref="E23:G23"/>
    <mergeCell ref="E20:F20"/>
    <mergeCell ref="E21:F21"/>
    <mergeCell ref="E22:F22"/>
    <mergeCell ref="E8:F8"/>
    <mergeCell ref="E9:F9"/>
    <mergeCell ref="E10:F10"/>
    <mergeCell ref="E11:F11"/>
    <mergeCell ref="E19:F19"/>
    <mergeCell ref="E15:G15"/>
    <mergeCell ref="E16:G16"/>
    <mergeCell ref="J7:K7"/>
    <mergeCell ref="O18:P18"/>
    <mergeCell ref="O41:P41"/>
    <mergeCell ref="J50:L50"/>
    <mergeCell ref="O15:P15"/>
    <mergeCell ref="O16:P16"/>
    <mergeCell ref="J45:L45"/>
    <mergeCell ref="J47:L47"/>
    <mergeCell ref="J48:L48"/>
    <mergeCell ref="J24:L24"/>
    <mergeCell ref="J25:L25"/>
    <mergeCell ref="J41:L41"/>
    <mergeCell ref="J44:L44"/>
    <mergeCell ref="J22:L22"/>
    <mergeCell ref="J21:L21"/>
    <mergeCell ref="J18:L18"/>
    <mergeCell ref="O50:Q50"/>
    <mergeCell ref="O38:Q38"/>
    <mergeCell ref="O24:Q24"/>
    <mergeCell ref="O25:Q25"/>
    <mergeCell ref="O49:Q49"/>
    <mergeCell ref="J8:K8"/>
    <mergeCell ref="J9:K9"/>
    <mergeCell ref="J10:K10"/>
    <mergeCell ref="J11:K11"/>
    <mergeCell ref="J12:K12"/>
    <mergeCell ref="H38:H39"/>
    <mergeCell ref="E37:H37"/>
    <mergeCell ref="E48:G48"/>
    <mergeCell ref="E49:G49"/>
    <mergeCell ref="E50:G50"/>
    <mergeCell ref="G38:G39"/>
    <mergeCell ref="E42:F42"/>
    <mergeCell ref="E43:F43"/>
    <mergeCell ref="E44:F44"/>
    <mergeCell ref="E45:F45"/>
    <mergeCell ref="E46:F46"/>
    <mergeCell ref="E47:F47"/>
    <mergeCell ref="E38:F39"/>
  </mergeCells>
  <conditionalFormatting sqref="A7:J7 Q18:Z18 A8:E8 A19:E19 A20:C25 A58:A68 D58:D68 A9:D11 G19:J20 D20:D22 G21:Z22 A33:D36 A38:E38 A39:D39 A42:D47 G42:I43 Q41:AL41 M42:AL43 A69:AL1048576 A37:AL37 A40:AL40 G38:AL39 G44:AL47 H9:R9 G8:R8 G10:R11 A17:Z17 A1:AL5 A6:R6 A26:AL31 AA6:AA25 A12:R16 AJ6:AL25 BA1:XFD1048576 S6:Z16 A48:AL57 L7:R7 A18:O18 D23:Z25 A32:E32 G32:AL36 A41:N41 G58:AL68 L19:Z20">
    <cfRule type="cellIs" dxfId="1036" priority="27" operator="lessThan">
      <formula>0</formula>
    </cfRule>
  </conditionalFormatting>
  <conditionalFormatting sqref="O41">
    <cfRule type="cellIs" dxfId="1035" priority="26" operator="lessThan">
      <formula>0</formula>
    </cfRule>
  </conditionalFormatting>
  <conditionalFormatting sqref="J42:J43">
    <cfRule type="cellIs" dxfId="1034" priority="22" operator="lessThan">
      <formula>0</formula>
    </cfRule>
  </conditionalFormatting>
  <conditionalFormatting sqref="L42:L43">
    <cfRule type="cellIs" dxfId="1033" priority="21" operator="lessThan">
      <formula>0</formula>
    </cfRule>
  </conditionalFormatting>
  <conditionalFormatting sqref="G9">
    <cfRule type="cellIs" dxfId="1032" priority="20" operator="lessThan">
      <formula>0</formula>
    </cfRule>
  </conditionalFormatting>
  <conditionalFormatting sqref="B67:B68 B58:C66">
    <cfRule type="cellIs" dxfId="1031" priority="19" operator="lessThan">
      <formula>0</formula>
    </cfRule>
  </conditionalFormatting>
  <conditionalFormatting sqref="E9">
    <cfRule type="cellIs" dxfId="1030" priority="18" operator="lessThan">
      <formula>0</formula>
    </cfRule>
  </conditionalFormatting>
  <conditionalFormatting sqref="E10">
    <cfRule type="cellIs" dxfId="1029" priority="17" operator="lessThan">
      <formula>0</formula>
    </cfRule>
  </conditionalFormatting>
  <conditionalFormatting sqref="E11">
    <cfRule type="cellIs" dxfId="1028" priority="16" operator="lessThan">
      <formula>0</formula>
    </cfRule>
  </conditionalFormatting>
  <conditionalFormatting sqref="E20:E22">
    <cfRule type="cellIs" dxfId="1027" priority="15" operator="lessThan">
      <formula>0</formula>
    </cfRule>
  </conditionalFormatting>
  <conditionalFormatting sqref="E33:E36">
    <cfRule type="cellIs" dxfId="1026" priority="14" operator="lessThan">
      <formula>0</formula>
    </cfRule>
  </conditionalFormatting>
  <conditionalFormatting sqref="E42:E47">
    <cfRule type="cellIs" dxfId="1025" priority="13" operator="lessThan">
      <formula>0</formula>
    </cfRule>
  </conditionalFormatting>
  <conditionalFormatting sqref="C67:C68">
    <cfRule type="cellIs" dxfId="1024" priority="11" operator="lessThan">
      <formula>0</formula>
    </cfRule>
  </conditionalFormatting>
  <conditionalFormatting sqref="E67:F67">
    <cfRule type="cellIs" dxfId="1023" priority="9" operator="lessThan">
      <formula>0</formula>
    </cfRule>
  </conditionalFormatting>
  <conditionalFormatting sqref="E68:F68">
    <cfRule type="cellIs" dxfId="1022" priority="4" operator="lessThan">
      <formula>0</formula>
    </cfRule>
  </conditionalFormatting>
  <conditionalFormatting sqref="E58:F66">
    <cfRule type="cellIs" dxfId="1021" priority="8" operator="lessThan">
      <formula>0</formula>
    </cfRule>
  </conditionalFormatting>
  <conditionalFormatting sqref="AM1:AZ1048576">
    <cfRule type="cellIs" dxfId="1020" priority="1" operator="lessThan">
      <formula>0</formula>
    </cfRule>
  </conditionalFormatting>
  <hyperlinks>
    <hyperlink ref="O24:Q24" location="Energiantarve!A2" display="Täydennä muut tiedot sivulla Energiantarve" xr:uid="{00000000-0004-0000-0200-000000000000}"/>
    <hyperlink ref="O49:Q49" location="Energiantarve!A2" display="Täydennä muut tiedot sivulla Energiantarve" xr:uid="{00000000-0004-0000-0200-000001000000}"/>
    <hyperlink ref="E37" location="Rehuntuotanto!A2" display="Erittele sivulla rehuntuotanto" xr:uid="{00000000-0004-0000-0200-000002000000}"/>
    <hyperlink ref="O38:Q38" location="Rehuntuotanto!A2" display="Täydennä rehuarvot sivulla Rehuntuotanto" xr:uid="{00000000-0004-0000-0200-000003000000}"/>
    <hyperlink ref="E32:F32" location="Rehuntuotanto!A3" display="Sadot" xr:uid="{00000000-0004-0000-0200-000004000000}"/>
  </hyperlinks>
  <pageMargins left="0.7" right="0.7" top="0.75" bottom="0.75" header="0.3" footer="0.3"/>
  <pageSetup paperSize="9" orientation="portrait" horizontalDpi="300" verticalDpi="300"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ul1">
    <tabColor theme="7" tint="0.39997558519241921"/>
  </sheetPr>
  <dimension ref="A1:AQ248"/>
  <sheetViews>
    <sheetView zoomScaleNormal="100" workbookViewId="0">
      <pane ySplit="1" topLeftCell="A2" activePane="bottomLeft" state="frozen"/>
      <selection activeCell="E1" sqref="E1"/>
      <selection pane="bottomLeft" activeCell="A2" sqref="A2"/>
    </sheetView>
  </sheetViews>
  <sheetFormatPr defaultColWidth="9.1796875" defaultRowHeight="14.5" x14ac:dyDescent="0.35"/>
  <cols>
    <col min="1" max="1" width="2.6328125" style="49" customWidth="1"/>
    <col min="2" max="2" width="2.6328125" style="44" customWidth="1"/>
    <col min="3" max="3" width="10.6328125" style="44" customWidth="1"/>
    <col min="4" max="4" width="12.453125" style="44" customWidth="1"/>
    <col min="5" max="13" width="10.6328125" style="180" customWidth="1"/>
    <col min="14" max="14" width="2.6328125" style="44" customWidth="1"/>
    <col min="15" max="15" width="10.6328125" style="44" customWidth="1"/>
    <col min="16" max="16" width="15.6328125" style="180" customWidth="1"/>
    <col min="17" max="17" width="2.6328125" style="49" customWidth="1"/>
    <col min="18" max="18" width="15.81640625" style="44" customWidth="1"/>
    <col min="19" max="27" width="10.6328125" style="44" customWidth="1"/>
    <col min="28" max="29" width="2.6328125" style="49" customWidth="1"/>
    <col min="30" max="33" width="10.6328125" style="49" customWidth="1"/>
    <col min="34" max="43" width="9.1796875" style="49"/>
    <col min="44" max="16384" width="9.1796875" style="44"/>
  </cols>
  <sheetData>
    <row r="1" spans="1:43" s="410" customFormat="1" ht="27" customHeight="1" x14ac:dyDescent="0.35">
      <c r="A1" s="408"/>
      <c r="B1" s="408"/>
      <c r="C1" s="408"/>
      <c r="D1" s="409"/>
      <c r="E1" s="409" t="s">
        <v>329</v>
      </c>
      <c r="F1" s="413"/>
      <c r="G1" s="413"/>
      <c r="H1" s="413"/>
      <c r="I1" s="413"/>
      <c r="J1" s="413"/>
      <c r="K1" s="413"/>
      <c r="L1" s="408" t="str">
        <f>CONCATENATE(Etusivu!$F$10,," ",Etusivu!$G$10,", ",Etusivu!$F$7," ",Etusivu!$G$7)</f>
        <v>Laskelman laatija: Lappari-elinkeino -hanke, Laskelmavuosi: 2021</v>
      </c>
      <c r="M1" s="408"/>
      <c r="N1" s="408"/>
      <c r="O1" s="408"/>
      <c r="P1" s="408"/>
      <c r="Q1" s="408"/>
      <c r="R1" s="411"/>
      <c r="S1" s="408"/>
      <c r="T1" s="408"/>
      <c r="U1" s="408"/>
      <c r="V1" s="408"/>
      <c r="W1" s="408"/>
      <c r="X1" s="408"/>
      <c r="Y1" s="408"/>
      <c r="Z1" s="408"/>
      <c r="AA1" s="408"/>
      <c r="AB1" s="408"/>
      <c r="AC1" s="408"/>
      <c r="AD1" s="408"/>
      <c r="AE1" s="408"/>
      <c r="AF1" s="408"/>
      <c r="AG1" s="408"/>
      <c r="AH1" s="408"/>
      <c r="AI1" s="408"/>
      <c r="AJ1" s="408"/>
      <c r="AK1" s="408"/>
      <c r="AL1" s="408"/>
      <c r="AM1" s="408"/>
      <c r="AN1" s="408"/>
      <c r="AO1" s="408"/>
      <c r="AP1" s="408"/>
      <c r="AQ1" s="408"/>
    </row>
    <row r="2" spans="1:43" s="2" customFormat="1" ht="14.25" customHeight="1" x14ac:dyDescent="0.35">
      <c r="A2" s="3"/>
      <c r="B2" s="4"/>
      <c r="C2" s="1"/>
      <c r="D2" s="1"/>
      <c r="E2" s="129"/>
      <c r="F2" s="129"/>
      <c r="G2" s="129"/>
      <c r="H2" s="129"/>
      <c r="I2" s="129"/>
      <c r="J2" s="129"/>
      <c r="K2" s="129"/>
      <c r="L2" s="129"/>
      <c r="M2" s="129"/>
      <c r="N2" s="1"/>
      <c r="O2" s="1"/>
      <c r="P2" s="129"/>
      <c r="Q2" s="1"/>
      <c r="R2" s="1"/>
      <c r="S2" s="1"/>
      <c r="T2" s="1"/>
      <c r="U2" s="1"/>
      <c r="V2" s="1"/>
      <c r="W2" s="1"/>
      <c r="X2" s="1"/>
      <c r="Y2" s="1"/>
      <c r="Z2" s="1"/>
      <c r="AA2" s="1"/>
      <c r="AB2" s="1"/>
      <c r="AC2" s="1"/>
      <c r="AD2" s="1"/>
      <c r="AE2" s="1"/>
      <c r="AF2" s="1"/>
      <c r="AG2" s="1"/>
      <c r="AH2" s="1"/>
      <c r="AI2" s="1"/>
      <c r="AJ2" s="1"/>
      <c r="AK2" s="1"/>
      <c r="AL2" s="1"/>
      <c r="AM2" s="1"/>
      <c r="AN2" s="1"/>
      <c r="AO2" s="1"/>
      <c r="AP2" s="1"/>
      <c r="AQ2" s="1"/>
    </row>
    <row r="3" spans="1:43" s="39" customFormat="1" ht="21" x14ac:dyDescent="0.5">
      <c r="A3" s="49"/>
      <c r="B3" s="232" t="s">
        <v>0</v>
      </c>
      <c r="C3" s="227"/>
      <c r="D3" s="227"/>
      <c r="E3" s="230"/>
      <c r="F3" s="230"/>
      <c r="G3" s="230"/>
      <c r="H3" s="230"/>
      <c r="I3" s="230"/>
      <c r="J3" s="230"/>
      <c r="K3" s="230"/>
      <c r="L3" s="230"/>
      <c r="M3" s="230"/>
      <c r="N3" s="227"/>
      <c r="O3" s="233" t="s">
        <v>333</v>
      </c>
      <c r="P3" s="181">
        <f>P11+P17+P23+P29+P35+P41+P47</f>
        <v>2106608.0326498584</v>
      </c>
      <c r="Q3" s="49"/>
      <c r="AB3" s="49"/>
      <c r="AC3" s="49"/>
      <c r="AD3" s="49"/>
      <c r="AE3" s="49"/>
      <c r="AF3" s="49"/>
      <c r="AG3" s="49"/>
      <c r="AH3" s="49"/>
      <c r="AI3" s="49"/>
      <c r="AJ3" s="49"/>
      <c r="AK3" s="49"/>
      <c r="AL3" s="49"/>
      <c r="AM3" s="49"/>
      <c r="AN3" s="49"/>
      <c r="AO3" s="49"/>
      <c r="AP3" s="49"/>
      <c r="AQ3" s="49"/>
    </row>
    <row r="4" spans="1:43" ht="25" customHeight="1" x14ac:dyDescent="0.35">
      <c r="B4" s="826" t="s">
        <v>688</v>
      </c>
      <c r="C4" s="826"/>
      <c r="D4" s="827"/>
      <c r="E4" s="226" t="s">
        <v>84</v>
      </c>
      <c r="F4" s="226" t="s">
        <v>85</v>
      </c>
      <c r="G4" s="226" t="s">
        <v>94</v>
      </c>
      <c r="H4" s="226" t="s">
        <v>86</v>
      </c>
      <c r="I4" s="226" t="s">
        <v>87</v>
      </c>
      <c r="J4" s="226" t="s">
        <v>88</v>
      </c>
      <c r="K4" s="226" t="s">
        <v>89</v>
      </c>
      <c r="L4" s="226" t="s">
        <v>90</v>
      </c>
      <c r="M4" s="226" t="s">
        <v>93</v>
      </c>
      <c r="N4" s="39"/>
      <c r="O4" s="48"/>
      <c r="P4" s="225"/>
      <c r="Q4" s="48"/>
      <c r="R4" s="39"/>
      <c r="S4" s="39"/>
      <c r="T4" s="39"/>
      <c r="U4" s="39"/>
      <c r="V4" s="39"/>
      <c r="W4" s="39"/>
      <c r="X4" s="39"/>
      <c r="Y4" s="39"/>
      <c r="Z4" s="39"/>
      <c r="AA4" s="39"/>
    </row>
    <row r="5" spans="1:43" x14ac:dyDescent="0.35">
      <c r="B5" s="39"/>
      <c r="C5" s="77"/>
      <c r="D5" s="39"/>
      <c r="E5" s="52">
        <f>'Rehun käyttö, nettosato'!E5</f>
        <v>20</v>
      </c>
      <c r="F5" s="36">
        <f>'Rehun käyttö, nettosato'!F5</f>
        <v>6000</v>
      </c>
      <c r="G5" s="36">
        <f>F5*(383*F8+242*E8+783.2)/3140</f>
        <v>6293.9426751592355</v>
      </c>
      <c r="H5" s="36">
        <f>E5*F5/1.031</f>
        <v>116391.85257032009</v>
      </c>
      <c r="I5" s="418">
        <f>IF(Lähtötiedot!M8=0,0,Lähtötiedot!L8/Lähtötiedot!M8)</f>
        <v>120000</v>
      </c>
      <c r="J5" s="36">
        <f>H5-I5</f>
        <v>-3608.1474296799133</v>
      </c>
      <c r="K5" s="174">
        <f>IF(H5=0,0,J5/H5)</f>
        <v>-3.099999999999992E-2</v>
      </c>
      <c r="L5" s="32">
        <v>750</v>
      </c>
      <c r="M5" s="174">
        <f>Lähtötiedot!C15</f>
        <v>0.2</v>
      </c>
      <c r="N5" s="39"/>
      <c r="O5" s="39"/>
      <c r="P5" s="55"/>
      <c r="Q5" s="48"/>
      <c r="R5" s="39"/>
      <c r="S5" s="39"/>
      <c r="T5" s="39"/>
      <c r="U5" s="39"/>
      <c r="V5" s="39"/>
      <c r="W5" s="39"/>
      <c r="X5" s="39"/>
      <c r="Y5" s="39"/>
      <c r="Z5" s="39"/>
      <c r="AA5" s="39"/>
    </row>
    <row r="6" spans="1:43" s="39" customFormat="1" ht="3" customHeight="1" x14ac:dyDescent="0.35">
      <c r="A6" s="49"/>
      <c r="C6" s="77"/>
      <c r="E6" s="55"/>
      <c r="F6" s="55"/>
      <c r="G6" s="55"/>
      <c r="H6" s="55"/>
      <c r="I6" s="55"/>
      <c r="J6" s="55"/>
      <c r="K6" s="55"/>
      <c r="L6" s="55"/>
      <c r="M6" s="55"/>
      <c r="P6" s="55"/>
      <c r="Q6" s="48"/>
      <c r="AB6" s="49"/>
      <c r="AC6" s="49"/>
      <c r="AD6" s="49"/>
      <c r="AE6" s="49"/>
      <c r="AF6" s="49"/>
      <c r="AG6" s="49"/>
      <c r="AH6" s="49"/>
      <c r="AI6" s="49"/>
      <c r="AJ6" s="49"/>
      <c r="AK6" s="49"/>
      <c r="AL6" s="49"/>
      <c r="AM6" s="49"/>
      <c r="AN6" s="49"/>
      <c r="AO6" s="49"/>
      <c r="AP6" s="49"/>
      <c r="AQ6" s="49"/>
    </row>
    <row r="7" spans="1:43" ht="25" customHeight="1" x14ac:dyDescent="0.35">
      <c r="B7" s="39"/>
      <c r="C7" s="219"/>
      <c r="D7" s="39"/>
      <c r="E7" s="183" t="s">
        <v>332</v>
      </c>
      <c r="F7" s="183" t="s">
        <v>91</v>
      </c>
      <c r="G7" s="183" t="s">
        <v>95</v>
      </c>
      <c r="H7" s="183" t="s">
        <v>96</v>
      </c>
      <c r="I7" s="183" t="s">
        <v>97</v>
      </c>
      <c r="J7" s="183" t="s">
        <v>98</v>
      </c>
      <c r="K7" s="779" t="s">
        <v>99</v>
      </c>
      <c r="L7" s="779" t="s">
        <v>100</v>
      </c>
      <c r="M7" s="183" t="s">
        <v>92</v>
      </c>
      <c r="N7" s="39"/>
      <c r="O7" s="182" t="s">
        <v>415</v>
      </c>
      <c r="P7" s="182" t="s">
        <v>2</v>
      </c>
      <c r="Q7" s="48"/>
      <c r="R7" s="39"/>
      <c r="S7" s="39"/>
      <c r="T7" s="39"/>
      <c r="U7" s="39"/>
      <c r="V7" s="39"/>
      <c r="W7" s="39"/>
      <c r="X7" s="39"/>
      <c r="Y7" s="39"/>
      <c r="Z7" s="39"/>
      <c r="AA7" s="39"/>
    </row>
    <row r="8" spans="1:43" x14ac:dyDescent="0.35">
      <c r="B8" s="39"/>
      <c r="C8" s="219"/>
      <c r="D8" s="39"/>
      <c r="E8" s="5">
        <v>3.49</v>
      </c>
      <c r="F8" s="5">
        <v>4.3499999999999996</v>
      </c>
      <c r="G8" s="32">
        <v>700</v>
      </c>
      <c r="H8" s="5">
        <v>150</v>
      </c>
      <c r="I8" s="175">
        <v>0.2</v>
      </c>
      <c r="J8" s="174">
        <f>'Rehun käyttö, nettosato'!N51</f>
        <v>0</v>
      </c>
      <c r="K8" s="430" t="s">
        <v>767</v>
      </c>
      <c r="L8" s="175">
        <v>0.05</v>
      </c>
      <c r="M8" s="430">
        <v>365</v>
      </c>
      <c r="N8" s="39"/>
      <c r="O8" s="36">
        <f>IF(E5=0,0,'Energiantarve Lehmä+uudistus'!D25*'Energiantarve Lehmä+uudistus'!D32+'Energiantarve Lehmä+uudistus'!D47*'Energiantarve Lehmä+uudistus'!D54)</f>
        <v>56407.14263249292</v>
      </c>
      <c r="P8" s="36">
        <f>O8*E5</f>
        <v>1128142.8526498585</v>
      </c>
      <c r="Q8" s="48"/>
      <c r="R8" s="39"/>
      <c r="S8" s="39"/>
      <c r="T8" s="39"/>
      <c r="U8" s="39"/>
      <c r="V8" s="39"/>
      <c r="W8" s="39"/>
      <c r="X8" s="39"/>
      <c r="Y8" s="39"/>
      <c r="Z8" s="39"/>
      <c r="AA8" s="39"/>
    </row>
    <row r="9" spans="1:43" s="39" customFormat="1" ht="3" customHeight="1" x14ac:dyDescent="0.35">
      <c r="A9" s="49"/>
      <c r="C9" s="220" t="s">
        <v>411</v>
      </c>
      <c r="D9" s="221">
        <f>O8</f>
        <v>56407.14263249292</v>
      </c>
      <c r="E9" s="55"/>
      <c r="F9" s="55"/>
      <c r="G9" s="55"/>
      <c r="H9" s="55"/>
      <c r="I9" s="55"/>
      <c r="J9" s="55"/>
      <c r="K9" s="55"/>
      <c r="L9" s="55"/>
      <c r="M9" s="55"/>
      <c r="P9" s="55"/>
      <c r="Q9" s="48"/>
      <c r="AB9" s="49"/>
      <c r="AC9" s="49"/>
      <c r="AD9" s="49"/>
      <c r="AE9" s="49"/>
      <c r="AF9" s="49"/>
      <c r="AG9" s="49"/>
      <c r="AH9" s="49"/>
      <c r="AI9" s="49"/>
      <c r="AJ9" s="49"/>
      <c r="AK9" s="49"/>
      <c r="AL9" s="49"/>
      <c r="AM9" s="49"/>
      <c r="AN9" s="49"/>
      <c r="AO9" s="49"/>
      <c r="AP9" s="49"/>
      <c r="AQ9" s="49"/>
    </row>
    <row r="10" spans="1:43" ht="25" customHeight="1" x14ac:dyDescent="0.35">
      <c r="B10" s="39"/>
      <c r="C10" s="220" t="s">
        <v>410</v>
      </c>
      <c r="D10" s="221">
        <f>F11</f>
        <v>0</v>
      </c>
      <c r="E10" s="824" t="s">
        <v>363</v>
      </c>
      <c r="F10" s="824"/>
      <c r="G10" s="819"/>
      <c r="H10" s="819"/>
      <c r="I10" s="819"/>
      <c r="J10" s="819"/>
      <c r="K10" s="825" t="s">
        <v>335</v>
      </c>
      <c r="L10" s="825"/>
      <c r="M10" s="825"/>
      <c r="N10" s="39"/>
      <c r="O10" s="218" t="s">
        <v>416</v>
      </c>
      <c r="P10" s="218" t="s">
        <v>334</v>
      </c>
      <c r="Q10" s="48"/>
      <c r="R10" s="39"/>
      <c r="S10" s="39"/>
      <c r="T10" s="39"/>
      <c r="U10" s="39"/>
      <c r="V10" s="39"/>
      <c r="W10" s="39"/>
      <c r="X10" s="39"/>
      <c r="Y10" s="39"/>
      <c r="Z10" s="39"/>
      <c r="AA10" s="39"/>
    </row>
    <row r="11" spans="1:43" ht="15" customHeight="1" x14ac:dyDescent="0.35">
      <c r="B11" s="39"/>
      <c r="C11" s="220" t="s">
        <v>409</v>
      </c>
      <c r="D11" s="221">
        <f>L11</f>
        <v>0</v>
      </c>
      <c r="E11" s="23">
        <f>IF(Lähtötiedot!K15="x",10%,0)</f>
        <v>0</v>
      </c>
      <c r="F11" s="176">
        <f>O8*E11</f>
        <v>0</v>
      </c>
      <c r="G11" s="819"/>
      <c r="H11" s="819"/>
      <c r="I11" s="819"/>
      <c r="J11" s="819"/>
      <c r="K11" s="23">
        <v>0</v>
      </c>
      <c r="L11" s="234">
        <f>O8*K11</f>
        <v>0</v>
      </c>
      <c r="M11" s="177" t="s">
        <v>284</v>
      </c>
      <c r="N11" s="39"/>
      <c r="O11" s="36">
        <f>L11+F11+O8</f>
        <v>56407.14263249292</v>
      </c>
      <c r="P11" s="36">
        <f>O11*E5</f>
        <v>1128142.8526498585</v>
      </c>
      <c r="Q11" s="48"/>
      <c r="R11" s="39"/>
      <c r="S11" s="39"/>
      <c r="T11" s="39"/>
      <c r="U11" s="39"/>
      <c r="V11" s="39"/>
      <c r="W11" s="39"/>
      <c r="X11" s="39"/>
      <c r="Y11" s="39"/>
      <c r="Z11" s="39"/>
      <c r="AA11" s="39"/>
    </row>
    <row r="12" spans="1:43" s="39" customFormat="1" x14ac:dyDescent="0.35">
      <c r="A12" s="49"/>
      <c r="B12" s="227"/>
      <c r="C12" s="228"/>
      <c r="D12" s="229"/>
      <c r="E12" s="230"/>
      <c r="F12" s="230"/>
      <c r="G12" s="230"/>
      <c r="H12" s="230"/>
      <c r="I12" s="230"/>
      <c r="J12" s="230"/>
      <c r="K12" s="230"/>
      <c r="L12" s="230"/>
      <c r="M12" s="230"/>
      <c r="N12" s="227"/>
      <c r="O12" s="227"/>
      <c r="P12" s="231"/>
      <c r="Q12" s="48"/>
      <c r="AB12" s="49"/>
      <c r="AC12" s="49"/>
      <c r="AD12" s="49"/>
      <c r="AE12" s="49"/>
      <c r="AF12" s="49"/>
      <c r="AG12" s="49"/>
      <c r="AH12" s="49"/>
      <c r="AI12" s="49"/>
      <c r="AJ12" s="49"/>
      <c r="AK12" s="49"/>
      <c r="AL12" s="49"/>
      <c r="AM12" s="49"/>
      <c r="AN12" s="49"/>
      <c r="AO12" s="49"/>
      <c r="AP12" s="49"/>
      <c r="AQ12" s="49"/>
    </row>
    <row r="13" spans="1:43" ht="25" customHeight="1" x14ac:dyDescent="0.35">
      <c r="B13" s="828" t="s">
        <v>687</v>
      </c>
      <c r="C13" s="828"/>
      <c r="D13" s="829"/>
      <c r="E13" s="183" t="s">
        <v>101</v>
      </c>
      <c r="F13" s="183" t="s">
        <v>102</v>
      </c>
      <c r="G13" s="183" t="s">
        <v>103</v>
      </c>
      <c r="H13" s="183" t="s">
        <v>104</v>
      </c>
      <c r="I13" s="183" t="s">
        <v>105</v>
      </c>
      <c r="J13" s="183" t="s">
        <v>106</v>
      </c>
      <c r="K13" s="183" t="s">
        <v>98</v>
      </c>
      <c r="L13" s="819"/>
      <c r="M13" s="819"/>
      <c r="N13" s="39"/>
      <c r="O13" s="182" t="s">
        <v>417</v>
      </c>
      <c r="P13" s="182" t="s">
        <v>2</v>
      </c>
      <c r="Q13" s="48"/>
      <c r="R13" s="39"/>
      <c r="S13" s="39"/>
      <c r="T13" s="39"/>
      <c r="U13" s="39"/>
      <c r="V13" s="39"/>
      <c r="W13" s="39"/>
      <c r="X13" s="39"/>
      <c r="Y13" s="39"/>
      <c r="Z13" s="39"/>
      <c r="AA13" s="39"/>
    </row>
    <row r="14" spans="1:43" x14ac:dyDescent="0.35">
      <c r="B14" s="39"/>
      <c r="C14" s="77"/>
      <c r="D14" s="39"/>
      <c r="E14" s="52">
        <f>E5*M5</f>
        <v>4</v>
      </c>
      <c r="F14" s="32">
        <v>40</v>
      </c>
      <c r="G14" s="32">
        <v>533</v>
      </c>
      <c r="H14" s="10">
        <v>24</v>
      </c>
      <c r="I14" s="6">
        <f>H14*30.4375</f>
        <v>730.5</v>
      </c>
      <c r="J14" s="7">
        <f>(G14-F14)/I14*1000</f>
        <v>674.88021902806292</v>
      </c>
      <c r="K14" s="175">
        <v>0</v>
      </c>
      <c r="L14" s="819"/>
      <c r="M14" s="819"/>
      <c r="N14" s="39"/>
      <c r="O14" s="178">
        <f>IF(E14=0,0,'Energiantarve Lehmä+uudistus'!D70*'Energiantarve Lehmä+uudistus'!D76+'Energiantarve Lehmä+uudistus'!E70*'Energiantarve Lehmä+uudistus'!E76+'Energiantarve Lehmä+uudistus'!F70*'Energiantarve Lehmä+uudistus'!F76)</f>
        <v>54201</v>
      </c>
      <c r="P14" s="36">
        <f>O14*E14</f>
        <v>216804</v>
      </c>
      <c r="Q14" s="48"/>
      <c r="R14" s="39"/>
      <c r="S14" s="39"/>
      <c r="T14" s="39"/>
      <c r="U14" s="39"/>
      <c r="V14" s="39"/>
      <c r="W14" s="39"/>
      <c r="X14" s="39"/>
      <c r="Y14" s="39"/>
      <c r="Z14" s="39"/>
      <c r="AA14" s="39"/>
    </row>
    <row r="15" spans="1:43" s="39" customFormat="1" ht="3" customHeight="1" x14ac:dyDescent="0.35">
      <c r="A15" s="49"/>
      <c r="C15" s="214"/>
      <c r="E15" s="55"/>
      <c r="F15" s="55"/>
      <c r="G15" s="55"/>
      <c r="H15" s="55"/>
      <c r="I15" s="55"/>
      <c r="J15" s="55"/>
      <c r="K15" s="55"/>
      <c r="L15" s="55"/>
      <c r="M15" s="55"/>
      <c r="P15" s="55"/>
      <c r="Q15" s="48"/>
      <c r="AB15" s="49"/>
      <c r="AC15" s="49"/>
      <c r="AD15" s="49"/>
      <c r="AE15" s="49"/>
      <c r="AF15" s="49"/>
      <c r="AG15" s="49"/>
      <c r="AH15" s="49"/>
      <c r="AI15" s="49"/>
      <c r="AJ15" s="49"/>
      <c r="AK15" s="49"/>
      <c r="AL15" s="49"/>
      <c r="AM15" s="49"/>
      <c r="AN15" s="49"/>
      <c r="AO15" s="49"/>
      <c r="AP15" s="49"/>
      <c r="AQ15" s="49"/>
    </row>
    <row r="16" spans="1:43" ht="25" customHeight="1" x14ac:dyDescent="0.35">
      <c r="B16" s="39"/>
      <c r="C16" s="220" t="s">
        <v>411</v>
      </c>
      <c r="D16" s="221">
        <f>O14</f>
        <v>54201</v>
      </c>
      <c r="E16" s="824" t="s">
        <v>363</v>
      </c>
      <c r="F16" s="824"/>
      <c r="G16" s="819"/>
      <c r="H16" s="819"/>
      <c r="I16" s="819"/>
      <c r="J16" s="819"/>
      <c r="K16" s="825" t="s">
        <v>335</v>
      </c>
      <c r="L16" s="825"/>
      <c r="M16" s="825"/>
      <c r="N16" s="39"/>
      <c r="O16" s="218" t="s">
        <v>285</v>
      </c>
      <c r="P16" s="218" t="s">
        <v>334</v>
      </c>
      <c r="Q16" s="48"/>
      <c r="R16" s="39"/>
      <c r="S16" s="39"/>
      <c r="T16" s="39"/>
      <c r="U16" s="39"/>
      <c r="V16" s="39"/>
      <c r="W16" s="39"/>
      <c r="X16" s="39"/>
      <c r="Y16" s="39"/>
      <c r="Z16" s="39"/>
      <c r="AA16" s="39"/>
    </row>
    <row r="17" spans="1:43" ht="15" customHeight="1" x14ac:dyDescent="0.35">
      <c r="B17" s="39"/>
      <c r="C17" s="220" t="s">
        <v>410</v>
      </c>
      <c r="D17" s="221">
        <f>F17</f>
        <v>0</v>
      </c>
      <c r="E17" s="23">
        <v>0</v>
      </c>
      <c r="F17" s="176">
        <f>O14*E17</f>
        <v>0</v>
      </c>
      <c r="G17" s="819"/>
      <c r="H17" s="819"/>
      <c r="I17" s="819"/>
      <c r="J17" s="819"/>
      <c r="K17" s="643">
        <f>K11</f>
        <v>0</v>
      </c>
      <c r="L17" s="234">
        <f>O14*K17</f>
        <v>0</v>
      </c>
      <c r="M17" s="177" t="s">
        <v>284</v>
      </c>
      <c r="N17" s="39"/>
      <c r="O17" s="36">
        <f>L17+F17+O14</f>
        <v>54201</v>
      </c>
      <c r="P17" s="36">
        <f>O17*E14</f>
        <v>216804</v>
      </c>
      <c r="Q17" s="48"/>
      <c r="R17" s="39"/>
      <c r="S17" s="39"/>
      <c r="T17" s="39"/>
      <c r="U17" s="39"/>
      <c r="V17" s="39"/>
      <c r="W17" s="39"/>
      <c r="X17" s="39"/>
      <c r="Y17" s="39"/>
      <c r="Z17" s="39"/>
      <c r="AA17" s="39"/>
    </row>
    <row r="18" spans="1:43" s="39" customFormat="1" x14ac:dyDescent="0.35">
      <c r="A18" s="49"/>
      <c r="B18" s="227"/>
      <c r="C18" s="228" t="s">
        <v>409</v>
      </c>
      <c r="D18" s="229">
        <f>L17</f>
        <v>0</v>
      </c>
      <c r="E18" s="230"/>
      <c r="F18" s="230"/>
      <c r="G18" s="230"/>
      <c r="H18" s="230"/>
      <c r="I18" s="230"/>
      <c r="J18" s="230"/>
      <c r="K18" s="230"/>
      <c r="L18" s="230"/>
      <c r="M18" s="230"/>
      <c r="N18" s="227"/>
      <c r="O18" s="227"/>
      <c r="P18" s="231"/>
      <c r="Q18" s="48"/>
      <c r="AB18" s="49"/>
      <c r="AC18" s="49"/>
      <c r="AD18" s="49"/>
      <c r="AE18" s="49"/>
      <c r="AF18" s="49"/>
      <c r="AG18" s="49"/>
      <c r="AH18" s="49"/>
      <c r="AI18" s="49"/>
      <c r="AJ18" s="49"/>
      <c r="AK18" s="49"/>
      <c r="AL18" s="49"/>
      <c r="AM18" s="49"/>
      <c r="AN18" s="49"/>
      <c r="AO18" s="49"/>
      <c r="AP18" s="49"/>
      <c r="AQ18" s="49"/>
    </row>
    <row r="19" spans="1:43" ht="25" customHeight="1" x14ac:dyDescent="0.35">
      <c r="B19" s="830" t="s">
        <v>3</v>
      </c>
      <c r="C19" s="830"/>
      <c r="D19" s="831"/>
      <c r="E19" s="183" t="s">
        <v>84</v>
      </c>
      <c r="F19" s="183" t="s">
        <v>90</v>
      </c>
      <c r="G19" s="183" t="s">
        <v>107</v>
      </c>
      <c r="H19" s="183" t="s">
        <v>330</v>
      </c>
      <c r="I19" s="183" t="s">
        <v>331</v>
      </c>
      <c r="J19" s="819"/>
      <c r="K19" s="183" t="s">
        <v>404</v>
      </c>
      <c r="L19" s="183" t="s">
        <v>109</v>
      </c>
      <c r="M19" s="183" t="s">
        <v>92</v>
      </c>
      <c r="N19" s="39"/>
      <c r="O19" s="182" t="s">
        <v>415</v>
      </c>
      <c r="P19" s="182" t="s">
        <v>2</v>
      </c>
      <c r="Q19" s="224"/>
      <c r="R19" s="39"/>
      <c r="S19" s="39"/>
      <c r="T19" s="39"/>
      <c r="U19" s="39"/>
      <c r="V19" s="39"/>
      <c r="W19" s="39"/>
      <c r="X19" s="39"/>
      <c r="Y19" s="39"/>
      <c r="Z19" s="39"/>
      <c r="AA19" s="39"/>
    </row>
    <row r="20" spans="1:43" x14ac:dyDescent="0.35">
      <c r="B20" s="39"/>
      <c r="C20" s="77"/>
      <c r="D20" s="39"/>
      <c r="E20" s="52">
        <f>'Rehun käyttö, nettosato'!E7</f>
        <v>0</v>
      </c>
      <c r="F20" s="36">
        <f>H20/I20</f>
        <v>833.33333333333337</v>
      </c>
      <c r="G20" s="32">
        <v>2100</v>
      </c>
      <c r="H20" s="32">
        <v>500</v>
      </c>
      <c r="I20" s="175">
        <v>0.6</v>
      </c>
      <c r="J20" s="819"/>
      <c r="K20" s="175">
        <v>0.19</v>
      </c>
      <c r="L20" s="174">
        <f>Lähtötiedot!C16</f>
        <v>0</v>
      </c>
      <c r="M20" s="6">
        <f>'Energiantarve Emolehmä'!J5</f>
        <v>365</v>
      </c>
      <c r="N20" s="39"/>
      <c r="O20" s="36">
        <f>IF(E20=0,0,'Energiantarve Emolehmä'!E10)</f>
        <v>0</v>
      </c>
      <c r="P20" s="36">
        <f>O20*E20</f>
        <v>0</v>
      </c>
      <c r="Q20" s="224"/>
      <c r="R20" s="39"/>
      <c r="S20" s="39"/>
      <c r="T20" s="39"/>
      <c r="U20" s="39"/>
      <c r="V20" s="39"/>
      <c r="W20" s="39"/>
      <c r="X20" s="39"/>
      <c r="Y20" s="39"/>
      <c r="Z20" s="39"/>
      <c r="AA20" s="39"/>
    </row>
    <row r="21" spans="1:43" s="39" customFormat="1" ht="3" customHeight="1" x14ac:dyDescent="0.35">
      <c r="A21" s="49"/>
      <c r="C21" s="220" t="s">
        <v>411</v>
      </c>
      <c r="D21" s="221">
        <f>O20</f>
        <v>0</v>
      </c>
      <c r="E21" s="55"/>
      <c r="F21" s="55"/>
      <c r="G21" s="55"/>
      <c r="H21" s="55"/>
      <c r="I21" s="55"/>
      <c r="J21" s="55"/>
      <c r="K21" s="55"/>
      <c r="L21" s="55"/>
      <c r="M21" s="55"/>
      <c r="P21" s="55"/>
      <c r="Q21" s="224"/>
      <c r="AB21" s="49"/>
      <c r="AC21" s="49"/>
      <c r="AD21" s="49"/>
      <c r="AE21" s="49"/>
      <c r="AF21" s="49"/>
      <c r="AG21" s="49"/>
      <c r="AH21" s="49"/>
      <c r="AI21" s="49"/>
      <c r="AJ21" s="49"/>
      <c r="AK21" s="49"/>
      <c r="AL21" s="49"/>
      <c r="AM21" s="49"/>
      <c r="AN21" s="49"/>
      <c r="AO21" s="49"/>
      <c r="AP21" s="49"/>
      <c r="AQ21" s="49"/>
    </row>
    <row r="22" spans="1:43" ht="25" customHeight="1" x14ac:dyDescent="0.35">
      <c r="B22" s="39"/>
      <c r="C22" s="220" t="s">
        <v>410</v>
      </c>
      <c r="D22" s="221">
        <f>F23</f>
        <v>0</v>
      </c>
      <c r="E22" s="824" t="s">
        <v>363</v>
      </c>
      <c r="F22" s="824"/>
      <c r="G22" s="819"/>
      <c r="H22" s="819"/>
      <c r="I22" s="819"/>
      <c r="J22" s="819"/>
      <c r="K22" s="825" t="s">
        <v>335</v>
      </c>
      <c r="L22" s="825"/>
      <c r="M22" s="825"/>
      <c r="N22" s="39"/>
      <c r="O22" s="218" t="s">
        <v>285</v>
      </c>
      <c r="P22" s="218" t="s">
        <v>334</v>
      </c>
      <c r="Q22" s="224"/>
      <c r="R22" s="39"/>
      <c r="S22" s="39"/>
      <c r="T22" s="39"/>
      <c r="U22" s="39"/>
      <c r="V22" s="39"/>
      <c r="W22" s="39"/>
      <c r="X22" s="39"/>
      <c r="Y22" s="39"/>
      <c r="Z22" s="39"/>
      <c r="AA22" s="39"/>
    </row>
    <row r="23" spans="1:43" ht="15" customHeight="1" x14ac:dyDescent="0.35">
      <c r="B23" s="39"/>
      <c r="C23" s="220" t="s">
        <v>409</v>
      </c>
      <c r="D23" s="221">
        <f>L23</f>
        <v>0</v>
      </c>
      <c r="E23" s="23">
        <f>IF(Lähtötiedot!L15="x",10%,0)</f>
        <v>0</v>
      </c>
      <c r="F23" s="176">
        <f>O20*E23</f>
        <v>0</v>
      </c>
      <c r="G23" s="819"/>
      <c r="H23" s="819"/>
      <c r="I23" s="819"/>
      <c r="J23" s="819"/>
      <c r="K23" s="23">
        <f>IF(Lähtötiedot!L15="x",10%,0)</f>
        <v>0</v>
      </c>
      <c r="L23" s="234">
        <f>O20*K23</f>
        <v>0</v>
      </c>
      <c r="M23" s="177" t="s">
        <v>284</v>
      </c>
      <c r="N23" s="39"/>
      <c r="O23" s="36">
        <f>L23+F23+O20</f>
        <v>0</v>
      </c>
      <c r="P23" s="36">
        <f>O23*E20</f>
        <v>0</v>
      </c>
      <c r="Q23" s="224"/>
      <c r="R23" s="39"/>
      <c r="S23" s="39"/>
      <c r="T23" s="39"/>
      <c r="U23" s="39"/>
      <c r="V23" s="39"/>
      <c r="W23" s="39"/>
      <c r="X23" s="39"/>
      <c r="Y23" s="39"/>
      <c r="Z23" s="39"/>
      <c r="AA23" s="39"/>
    </row>
    <row r="24" spans="1:43" s="39" customFormat="1" x14ac:dyDescent="0.35">
      <c r="A24" s="49"/>
      <c r="B24" s="227"/>
      <c r="C24" s="228"/>
      <c r="D24" s="229"/>
      <c r="E24" s="230"/>
      <c r="F24" s="230"/>
      <c r="G24" s="230"/>
      <c r="H24" s="230"/>
      <c r="I24" s="230"/>
      <c r="J24" s="230"/>
      <c r="K24" s="230"/>
      <c r="L24" s="230"/>
      <c r="M24" s="230"/>
      <c r="N24" s="227"/>
      <c r="O24" s="227"/>
      <c r="P24" s="231"/>
      <c r="Q24" s="224"/>
      <c r="AB24" s="49"/>
      <c r="AC24" s="49"/>
      <c r="AD24" s="49"/>
      <c r="AE24" s="49"/>
      <c r="AF24" s="49"/>
      <c r="AG24" s="49"/>
      <c r="AH24" s="49"/>
      <c r="AI24" s="49"/>
      <c r="AJ24" s="49"/>
      <c r="AK24" s="49"/>
      <c r="AL24" s="49"/>
      <c r="AM24" s="49"/>
      <c r="AN24" s="49"/>
      <c r="AO24" s="49"/>
      <c r="AP24" s="49"/>
      <c r="AQ24" s="49"/>
    </row>
    <row r="25" spans="1:43" ht="25" customHeight="1" x14ac:dyDescent="0.35">
      <c r="B25" s="832" t="s">
        <v>686</v>
      </c>
      <c r="C25" s="832"/>
      <c r="D25" s="833"/>
      <c r="E25" s="183" t="s">
        <v>101</v>
      </c>
      <c r="F25" s="133" t="s">
        <v>657</v>
      </c>
      <c r="G25" s="183" t="s">
        <v>662</v>
      </c>
      <c r="H25" s="183" t="s">
        <v>104</v>
      </c>
      <c r="I25" s="183" t="s">
        <v>105</v>
      </c>
      <c r="J25" s="183" t="s">
        <v>106</v>
      </c>
      <c r="K25" s="183" t="s">
        <v>98</v>
      </c>
      <c r="L25" s="819"/>
      <c r="M25" s="819"/>
      <c r="N25" s="39"/>
      <c r="O25" s="182" t="s">
        <v>417</v>
      </c>
      <c r="P25" s="182" t="s">
        <v>2</v>
      </c>
      <c r="Q25" s="224"/>
      <c r="R25" s="39"/>
      <c r="S25" s="39"/>
      <c r="T25" s="39"/>
      <c r="U25" s="39"/>
      <c r="V25" s="39"/>
      <c r="W25" s="39"/>
      <c r="X25" s="39"/>
      <c r="Y25" s="39"/>
      <c r="Z25" s="39"/>
      <c r="AA25" s="39"/>
    </row>
    <row r="26" spans="1:43" x14ac:dyDescent="0.35">
      <c r="B26" s="39"/>
      <c r="C26" s="77"/>
      <c r="D26" s="39"/>
      <c r="E26" s="52">
        <f>E20*L20</f>
        <v>0</v>
      </c>
      <c r="F26" s="32">
        <v>1</v>
      </c>
      <c r="G26" s="7">
        <f>'Energiantarve Emol. uudistus'!C5</f>
        <v>600</v>
      </c>
      <c r="H26" s="10">
        <v>24</v>
      </c>
      <c r="I26" s="7">
        <f>H26*30.4375</f>
        <v>730.5</v>
      </c>
      <c r="J26" s="7">
        <f>(G26)/I26*1000</f>
        <v>821.35523613963039</v>
      </c>
      <c r="K26" s="175">
        <v>0.1</v>
      </c>
      <c r="L26" s="819"/>
      <c r="M26" s="819"/>
      <c r="N26" s="39"/>
      <c r="O26" s="36">
        <f>IF(E26=0,0,'Energiantarve Emol. uudistus'!E9)</f>
        <v>0</v>
      </c>
      <c r="P26" s="36">
        <f>O26*E26</f>
        <v>0</v>
      </c>
      <c r="Q26" s="224"/>
      <c r="R26" s="39"/>
      <c r="S26" s="39"/>
      <c r="T26" s="39"/>
      <c r="U26" s="39"/>
      <c r="V26" s="39"/>
      <c r="W26" s="39"/>
      <c r="X26" s="39"/>
      <c r="Y26" s="39"/>
      <c r="Z26" s="39"/>
      <c r="AA26" s="39"/>
    </row>
    <row r="27" spans="1:43" s="39" customFormat="1" ht="3" customHeight="1" x14ac:dyDescent="0.35">
      <c r="A27" s="49"/>
      <c r="C27" s="214" t="s">
        <v>405</v>
      </c>
      <c r="E27" s="55"/>
      <c r="F27" s="55"/>
      <c r="G27" s="55"/>
      <c r="H27" s="55"/>
      <c r="I27" s="55"/>
      <c r="J27" s="55"/>
      <c r="K27" s="55"/>
      <c r="L27" s="55"/>
      <c r="M27" s="55"/>
      <c r="P27" s="55"/>
      <c r="Q27" s="224"/>
      <c r="AB27" s="49"/>
      <c r="AC27" s="49"/>
      <c r="AD27" s="49"/>
      <c r="AE27" s="49"/>
      <c r="AF27" s="49"/>
      <c r="AG27" s="49"/>
      <c r="AH27" s="49"/>
      <c r="AI27" s="49"/>
      <c r="AJ27" s="49"/>
      <c r="AK27" s="49"/>
      <c r="AL27" s="49"/>
      <c r="AM27" s="49"/>
      <c r="AN27" s="49"/>
      <c r="AO27" s="49"/>
      <c r="AP27" s="49"/>
      <c r="AQ27" s="49"/>
    </row>
    <row r="28" spans="1:43" ht="25" customHeight="1" x14ac:dyDescent="0.35">
      <c r="B28" s="39"/>
      <c r="C28" s="220" t="s">
        <v>411</v>
      </c>
      <c r="D28" s="221">
        <f>O26</f>
        <v>0</v>
      </c>
      <c r="E28" s="824" t="s">
        <v>363</v>
      </c>
      <c r="F28" s="824"/>
      <c r="G28" s="819"/>
      <c r="H28" s="819"/>
      <c r="I28" s="819"/>
      <c r="J28" s="819"/>
      <c r="K28" s="825" t="s">
        <v>335</v>
      </c>
      <c r="L28" s="825"/>
      <c r="M28" s="825"/>
      <c r="N28" s="39"/>
      <c r="O28" s="218" t="s">
        <v>285</v>
      </c>
      <c r="P28" s="218" t="s">
        <v>334</v>
      </c>
      <c r="Q28" s="224"/>
      <c r="R28" s="39"/>
      <c r="S28" s="39"/>
      <c r="T28" s="39"/>
      <c r="U28" s="39"/>
      <c r="V28" s="39"/>
      <c r="W28" s="39"/>
      <c r="X28" s="39"/>
      <c r="Y28" s="39"/>
      <c r="Z28" s="39"/>
      <c r="AA28" s="39"/>
    </row>
    <row r="29" spans="1:43" ht="15" customHeight="1" x14ac:dyDescent="0.35">
      <c r="B29" s="39"/>
      <c r="C29" s="220" t="s">
        <v>410</v>
      </c>
      <c r="D29" s="221">
        <f>F29</f>
        <v>0</v>
      </c>
      <c r="E29" s="23">
        <f>E23</f>
        <v>0</v>
      </c>
      <c r="F29" s="176">
        <f>O26*E29</f>
        <v>0</v>
      </c>
      <c r="G29" s="819"/>
      <c r="H29" s="819"/>
      <c r="I29" s="819"/>
      <c r="J29" s="819"/>
      <c r="K29" s="643">
        <f>K23</f>
        <v>0</v>
      </c>
      <c r="L29" s="234">
        <f>O26*K29</f>
        <v>0</v>
      </c>
      <c r="M29" s="177" t="s">
        <v>284</v>
      </c>
      <c r="N29" s="39"/>
      <c r="O29" s="36">
        <f>L29+F29+O26</f>
        <v>0</v>
      </c>
      <c r="P29" s="36">
        <f>O29*E26</f>
        <v>0</v>
      </c>
      <c r="Q29" s="224"/>
      <c r="R29" s="39"/>
      <c r="S29" s="39"/>
      <c r="T29" s="39"/>
      <c r="U29" s="39"/>
      <c r="V29" s="39"/>
      <c r="W29" s="39"/>
      <c r="X29" s="39"/>
      <c r="Y29" s="39"/>
      <c r="Z29" s="39"/>
      <c r="AA29" s="39"/>
    </row>
    <row r="30" spans="1:43" s="39" customFormat="1" x14ac:dyDescent="0.35">
      <c r="A30" s="49"/>
      <c r="B30" s="227"/>
      <c r="C30" s="228" t="s">
        <v>409</v>
      </c>
      <c r="D30" s="229">
        <f>L29</f>
        <v>0</v>
      </c>
      <c r="E30" s="230"/>
      <c r="F30" s="230"/>
      <c r="G30" s="230"/>
      <c r="H30" s="230"/>
      <c r="I30" s="230"/>
      <c r="J30" s="230"/>
      <c r="K30" s="230"/>
      <c r="L30" s="230"/>
      <c r="M30" s="230"/>
      <c r="N30" s="227"/>
      <c r="O30" s="227"/>
      <c r="P30" s="231"/>
      <c r="Q30" s="224"/>
      <c r="AB30" s="49"/>
      <c r="AC30" s="49"/>
      <c r="AD30" s="49"/>
      <c r="AE30" s="49"/>
      <c r="AF30" s="49"/>
      <c r="AG30" s="49"/>
      <c r="AH30" s="49"/>
      <c r="AI30" s="49"/>
      <c r="AJ30" s="49"/>
      <c r="AK30" s="49"/>
      <c r="AL30" s="49"/>
      <c r="AM30" s="49"/>
      <c r="AN30" s="49"/>
      <c r="AO30" s="49"/>
      <c r="AP30" s="49"/>
      <c r="AQ30" s="49"/>
    </row>
    <row r="31" spans="1:43" ht="25" customHeight="1" x14ac:dyDescent="0.35">
      <c r="B31" s="834" t="s">
        <v>4</v>
      </c>
      <c r="C31" s="834"/>
      <c r="D31" s="835"/>
      <c r="E31" s="183" t="s">
        <v>110</v>
      </c>
      <c r="F31" s="183" t="s">
        <v>102</v>
      </c>
      <c r="G31" s="183" t="s">
        <v>111</v>
      </c>
      <c r="H31" s="183" t="s">
        <v>330</v>
      </c>
      <c r="I31" s="183" t="s">
        <v>331</v>
      </c>
      <c r="J31" s="183" t="s">
        <v>104</v>
      </c>
      <c r="K31" s="183" t="s">
        <v>105</v>
      </c>
      <c r="L31" s="183" t="s">
        <v>706</v>
      </c>
      <c r="M31" s="183" t="s">
        <v>629</v>
      </c>
      <c r="N31" s="39"/>
      <c r="O31" s="182" t="s">
        <v>417</v>
      </c>
      <c r="P31" s="182" t="s">
        <v>2</v>
      </c>
      <c r="Q31" s="415"/>
      <c r="R31" s="39"/>
      <c r="S31" s="39"/>
      <c r="T31" s="39"/>
      <c r="U31" s="39"/>
      <c r="V31" s="39"/>
      <c r="W31" s="39"/>
      <c r="X31" s="39"/>
      <c r="Y31" s="39"/>
      <c r="Z31" s="39"/>
      <c r="AA31" s="39"/>
    </row>
    <row r="32" spans="1:43" x14ac:dyDescent="0.35">
      <c r="B32" s="39"/>
      <c r="C32" s="77"/>
      <c r="D32" s="39"/>
      <c r="E32" s="52">
        <f>'Rehun käyttö, nettosato'!E9</f>
        <v>8</v>
      </c>
      <c r="F32" s="5">
        <v>50</v>
      </c>
      <c r="G32" s="7">
        <f>H32/I32</f>
        <v>443.63636363636363</v>
      </c>
      <c r="H32" s="7">
        <f>'Rehun käyttö, nettosato'!F9</f>
        <v>244</v>
      </c>
      <c r="I32" s="175">
        <v>0.55000000000000004</v>
      </c>
      <c r="J32" s="429">
        <f>Lähtötiedot!H15</f>
        <v>22</v>
      </c>
      <c r="K32" s="6">
        <f>J32*30</f>
        <v>660</v>
      </c>
      <c r="L32" s="7">
        <f>IF(H32=0,0,(G32-F32)/K32*1000*I32)</f>
        <v>328.03030303030306</v>
      </c>
      <c r="M32" s="175">
        <v>0.2</v>
      </c>
      <c r="N32" s="39"/>
      <c r="O32" s="36">
        <f>IF(E32=0,0,'Energiantarve Lihasonni'!E9)</f>
        <v>51928.800000000003</v>
      </c>
      <c r="P32" s="36">
        <f>O32*E32</f>
        <v>415430.40000000002</v>
      </c>
      <c r="Q32" s="415"/>
      <c r="R32" s="39"/>
      <c r="S32" s="39"/>
      <c r="T32" s="39"/>
      <c r="U32" s="39"/>
      <c r="V32" s="39"/>
      <c r="W32" s="39"/>
      <c r="X32" s="39"/>
      <c r="Y32" s="39"/>
      <c r="Z32" s="39"/>
      <c r="AA32" s="39"/>
    </row>
    <row r="33" spans="1:43" s="39" customFormat="1" ht="3" customHeight="1" x14ac:dyDescent="0.35">
      <c r="A33" s="49"/>
      <c r="C33" s="220" t="s">
        <v>411</v>
      </c>
      <c r="D33" s="221">
        <f>O32</f>
        <v>51928.800000000003</v>
      </c>
      <c r="E33" s="55"/>
      <c r="F33" s="55"/>
      <c r="G33" s="55"/>
      <c r="H33" s="55"/>
      <c r="I33" s="55"/>
      <c r="J33" s="55"/>
      <c r="K33" s="55"/>
      <c r="L33" s="55"/>
      <c r="M33" s="55"/>
      <c r="P33" s="55"/>
      <c r="Q33" s="415"/>
      <c r="AB33" s="49"/>
      <c r="AC33" s="49"/>
      <c r="AD33" s="49"/>
      <c r="AE33" s="49"/>
      <c r="AF33" s="49"/>
      <c r="AG33" s="49"/>
      <c r="AH33" s="49"/>
      <c r="AI33" s="49"/>
      <c r="AJ33" s="49"/>
      <c r="AK33" s="49"/>
      <c r="AL33" s="49"/>
      <c r="AM33" s="49"/>
      <c r="AN33" s="49"/>
      <c r="AO33" s="49"/>
      <c r="AP33" s="49"/>
      <c r="AQ33" s="49"/>
    </row>
    <row r="34" spans="1:43" ht="25" customHeight="1" x14ac:dyDescent="0.35">
      <c r="B34" s="39"/>
      <c r="C34" s="220" t="s">
        <v>410</v>
      </c>
      <c r="D34" s="221">
        <f>F35</f>
        <v>5192.880000000001</v>
      </c>
      <c r="E34" s="824" t="s">
        <v>363</v>
      </c>
      <c r="F34" s="824"/>
      <c r="G34" s="819"/>
      <c r="H34" s="819"/>
      <c r="I34" s="819"/>
      <c r="J34" s="819"/>
      <c r="K34" s="825" t="s">
        <v>335</v>
      </c>
      <c r="L34" s="825"/>
      <c r="M34" s="825"/>
      <c r="N34" s="39"/>
      <c r="O34" s="218" t="s">
        <v>285</v>
      </c>
      <c r="P34" s="218" t="s">
        <v>334</v>
      </c>
      <c r="Q34" s="415"/>
      <c r="R34" s="39"/>
      <c r="S34" s="39"/>
      <c r="T34" s="39"/>
      <c r="U34" s="39"/>
      <c r="V34" s="39"/>
      <c r="W34" s="39"/>
      <c r="X34" s="39"/>
      <c r="Y34" s="39"/>
      <c r="Z34" s="39"/>
      <c r="AA34" s="39"/>
    </row>
    <row r="35" spans="1:43" ht="15" customHeight="1" x14ac:dyDescent="0.35">
      <c r="B35" s="39"/>
      <c r="C35" s="220" t="s">
        <v>409</v>
      </c>
      <c r="D35" s="221">
        <f>L35</f>
        <v>5192.880000000001</v>
      </c>
      <c r="E35" s="23">
        <f>IF(Lähtötiedot!M15="x",10%,0)</f>
        <v>0.1</v>
      </c>
      <c r="F35" s="176">
        <f>IF(H32=0,0,O32*E35)</f>
        <v>5192.880000000001</v>
      </c>
      <c r="G35" s="819"/>
      <c r="H35" s="819"/>
      <c r="I35" s="819"/>
      <c r="J35" s="819"/>
      <c r="K35" s="23">
        <f>IF(Lähtötiedot!M15="x",10%,0)</f>
        <v>0.1</v>
      </c>
      <c r="L35" s="234">
        <f>O32*K35</f>
        <v>5192.880000000001</v>
      </c>
      <c r="M35" s="177" t="s">
        <v>284</v>
      </c>
      <c r="N35" s="39"/>
      <c r="O35" s="36">
        <f>L35+F35+O32</f>
        <v>62314.560000000005</v>
      </c>
      <c r="P35" s="36">
        <f>O35*E32</f>
        <v>498516.48000000004</v>
      </c>
      <c r="Q35" s="415"/>
      <c r="R35" s="39"/>
      <c r="S35" s="39"/>
      <c r="T35" s="39"/>
      <c r="U35" s="39"/>
      <c r="V35" s="39"/>
      <c r="W35" s="39"/>
      <c r="X35" s="39"/>
      <c r="Y35" s="39"/>
      <c r="Z35" s="39"/>
      <c r="AA35" s="39"/>
    </row>
    <row r="36" spans="1:43" s="39" customFormat="1" x14ac:dyDescent="0.35">
      <c r="A36" s="49"/>
      <c r="B36" s="227"/>
      <c r="C36" s="228"/>
      <c r="D36" s="229"/>
      <c r="E36" s="230"/>
      <c r="F36" s="230"/>
      <c r="G36" s="230"/>
      <c r="H36" s="230"/>
      <c r="I36" s="230"/>
      <c r="J36" s="230"/>
      <c r="K36" s="230"/>
      <c r="L36" s="230"/>
      <c r="M36" s="230"/>
      <c r="N36" s="227"/>
      <c r="O36" s="227"/>
      <c r="P36" s="231"/>
      <c r="Q36" s="415"/>
      <c r="AB36" s="49"/>
      <c r="AC36" s="49"/>
      <c r="AD36" s="49"/>
      <c r="AE36" s="49"/>
      <c r="AF36" s="49"/>
      <c r="AG36" s="49"/>
      <c r="AH36" s="49"/>
      <c r="AI36" s="49"/>
      <c r="AJ36" s="49"/>
      <c r="AK36" s="49"/>
      <c r="AL36" s="49"/>
      <c r="AM36" s="49"/>
      <c r="AN36" s="49"/>
      <c r="AO36" s="49"/>
      <c r="AP36" s="49"/>
      <c r="AQ36" s="49"/>
    </row>
    <row r="37" spans="1:43" ht="25" customHeight="1" x14ac:dyDescent="0.35">
      <c r="B37" s="820" t="s">
        <v>5</v>
      </c>
      <c r="C37" s="820"/>
      <c r="D37" s="821"/>
      <c r="E37" s="183" t="s">
        <v>110</v>
      </c>
      <c r="F37" s="183" t="s">
        <v>102</v>
      </c>
      <c r="G37" s="183" t="s">
        <v>111</v>
      </c>
      <c r="H37" s="183" t="s">
        <v>330</v>
      </c>
      <c r="I37" s="183" t="s">
        <v>331</v>
      </c>
      <c r="J37" s="183" t="s">
        <v>104</v>
      </c>
      <c r="K37" s="183" t="s">
        <v>105</v>
      </c>
      <c r="L37" s="183" t="s">
        <v>706</v>
      </c>
      <c r="M37" s="183" t="s">
        <v>629</v>
      </c>
      <c r="N37" s="39"/>
      <c r="O37" s="182" t="s">
        <v>417</v>
      </c>
      <c r="P37" s="182" t="s">
        <v>2</v>
      </c>
      <c r="Q37" s="416"/>
      <c r="R37" s="39"/>
      <c r="S37" s="39"/>
      <c r="T37" s="39"/>
      <c r="U37" s="39"/>
      <c r="V37" s="39"/>
      <c r="W37" s="39"/>
      <c r="X37" s="39"/>
      <c r="Y37" s="39"/>
      <c r="Z37" s="39"/>
      <c r="AA37" s="39"/>
    </row>
    <row r="38" spans="1:43" x14ac:dyDescent="0.35">
      <c r="B38" s="39"/>
      <c r="C38" s="39"/>
      <c r="D38" s="39"/>
      <c r="E38" s="52">
        <f>'Rehun käyttö, nettosato'!E10</f>
        <v>6</v>
      </c>
      <c r="F38" s="5">
        <v>40</v>
      </c>
      <c r="G38" s="7">
        <f>H38/I38</f>
        <v>306.66666666666669</v>
      </c>
      <c r="H38" s="7">
        <f>'Rehun käyttö, nettosato'!F10</f>
        <v>184</v>
      </c>
      <c r="I38" s="175">
        <v>0.6</v>
      </c>
      <c r="J38" s="429">
        <f>Lähtötiedot!H16</f>
        <v>25</v>
      </c>
      <c r="K38" s="6">
        <f>J38*30</f>
        <v>750</v>
      </c>
      <c r="L38" s="7">
        <f>IF(H38=0,0,(G38-F38)/K38*1000*I38)</f>
        <v>213.33333333333331</v>
      </c>
      <c r="M38" s="175">
        <v>0.2</v>
      </c>
      <c r="N38" s="39"/>
      <c r="O38" s="36">
        <f>IF(E38=0,0,'Energiantarve Lihahieho'!E9)</f>
        <v>36547.875</v>
      </c>
      <c r="P38" s="36">
        <f>O38*E38</f>
        <v>219287.25</v>
      </c>
      <c r="Q38" s="416"/>
      <c r="R38" s="39"/>
      <c r="S38" s="39"/>
      <c r="T38" s="39"/>
      <c r="U38" s="39"/>
      <c r="V38" s="39"/>
      <c r="W38" s="39"/>
      <c r="X38" s="39"/>
      <c r="Y38" s="39"/>
      <c r="Z38" s="39"/>
      <c r="AA38" s="39"/>
    </row>
    <row r="39" spans="1:43" s="39" customFormat="1" ht="3" customHeight="1" x14ac:dyDescent="0.35">
      <c r="A39" s="49"/>
      <c r="C39" s="220" t="s">
        <v>411</v>
      </c>
      <c r="D39" s="221">
        <f>O38</f>
        <v>36547.875</v>
      </c>
      <c r="E39" s="55"/>
      <c r="F39" s="55"/>
      <c r="G39" s="55"/>
      <c r="H39" s="55"/>
      <c r="I39" s="55"/>
      <c r="J39" s="55"/>
      <c r="K39" s="55"/>
      <c r="L39" s="55"/>
      <c r="M39" s="55"/>
      <c r="P39" s="55"/>
      <c r="Q39" s="416"/>
      <c r="AB39" s="49"/>
      <c r="AC39" s="49"/>
      <c r="AD39" s="49"/>
      <c r="AE39" s="49"/>
      <c r="AF39" s="49"/>
      <c r="AG39" s="49"/>
      <c r="AH39" s="49"/>
      <c r="AI39" s="49"/>
      <c r="AJ39" s="49"/>
      <c r="AK39" s="49"/>
      <c r="AL39" s="49"/>
      <c r="AM39" s="49"/>
      <c r="AN39" s="49"/>
      <c r="AO39" s="49"/>
      <c r="AP39" s="49"/>
      <c r="AQ39" s="49"/>
    </row>
    <row r="40" spans="1:43" ht="25" customHeight="1" x14ac:dyDescent="0.35">
      <c r="B40" s="39"/>
      <c r="C40" s="220" t="s">
        <v>410</v>
      </c>
      <c r="D40" s="221">
        <f>F41</f>
        <v>3654.7875000000004</v>
      </c>
      <c r="E40" s="824" t="s">
        <v>363</v>
      </c>
      <c r="F40" s="824"/>
      <c r="G40" s="819"/>
      <c r="H40" s="819"/>
      <c r="I40" s="819"/>
      <c r="J40" s="819"/>
      <c r="K40" s="825" t="s">
        <v>335</v>
      </c>
      <c r="L40" s="825"/>
      <c r="M40" s="825"/>
      <c r="N40" s="39"/>
      <c r="O40" s="218" t="s">
        <v>285</v>
      </c>
      <c r="P40" s="218" t="s">
        <v>334</v>
      </c>
      <c r="Q40" s="416"/>
      <c r="R40" s="39"/>
      <c r="S40" s="39"/>
      <c r="T40" s="39"/>
      <c r="U40" s="39"/>
      <c r="V40" s="39"/>
      <c r="W40" s="39"/>
      <c r="X40" s="39"/>
      <c r="Y40" s="39"/>
      <c r="Z40" s="39"/>
      <c r="AA40" s="39"/>
    </row>
    <row r="41" spans="1:43" ht="15" customHeight="1" x14ac:dyDescent="0.35">
      <c r="B41" s="39"/>
      <c r="C41" s="220" t="s">
        <v>409</v>
      </c>
      <c r="D41" s="221">
        <f>L41</f>
        <v>3654.7875000000004</v>
      </c>
      <c r="E41" s="23">
        <f>E35</f>
        <v>0.1</v>
      </c>
      <c r="F41" s="176">
        <f>IF(H38=0,0,O38*E41)</f>
        <v>3654.7875000000004</v>
      </c>
      <c r="G41" s="819"/>
      <c r="H41" s="819"/>
      <c r="I41" s="819"/>
      <c r="J41" s="819"/>
      <c r="K41" s="23">
        <f>K35</f>
        <v>0.1</v>
      </c>
      <c r="L41" s="234">
        <f>O38*K41</f>
        <v>3654.7875000000004</v>
      </c>
      <c r="M41" s="177" t="s">
        <v>284</v>
      </c>
      <c r="N41" s="39"/>
      <c r="O41" s="36">
        <f>L41+F41+O38</f>
        <v>43857.45</v>
      </c>
      <c r="P41" s="36">
        <f>O41*E38</f>
        <v>263144.69999999995</v>
      </c>
      <c r="Q41" s="416"/>
      <c r="R41" s="39"/>
      <c r="S41" s="39"/>
      <c r="T41" s="39"/>
      <c r="U41" s="39"/>
      <c r="V41" s="39"/>
      <c r="W41" s="39"/>
      <c r="X41" s="39"/>
      <c r="Y41" s="39"/>
      <c r="Z41" s="39"/>
      <c r="AA41" s="39"/>
    </row>
    <row r="42" spans="1:43" s="39" customFormat="1" x14ac:dyDescent="0.35">
      <c r="A42" s="49"/>
      <c r="B42" s="227"/>
      <c r="C42" s="228"/>
      <c r="D42" s="229"/>
      <c r="E42" s="230"/>
      <c r="F42" s="230"/>
      <c r="G42" s="230"/>
      <c r="H42" s="230"/>
      <c r="I42" s="230"/>
      <c r="J42" s="230"/>
      <c r="K42" s="230"/>
      <c r="L42" s="230"/>
      <c r="M42" s="230"/>
      <c r="N42" s="227"/>
      <c r="O42" s="227"/>
      <c r="P42" s="231"/>
      <c r="Q42" s="416"/>
      <c r="AB42" s="49"/>
      <c r="AC42" s="49"/>
      <c r="AD42" s="49"/>
      <c r="AE42" s="49"/>
      <c r="AF42" s="49"/>
      <c r="AG42" s="49"/>
      <c r="AH42" s="49"/>
      <c r="AI42" s="49"/>
      <c r="AJ42" s="49"/>
      <c r="AK42" s="49"/>
      <c r="AL42" s="49"/>
      <c r="AM42" s="49"/>
      <c r="AN42" s="49"/>
      <c r="AO42" s="49"/>
      <c r="AP42" s="49"/>
      <c r="AQ42" s="49"/>
    </row>
    <row r="43" spans="1:43" ht="25" customHeight="1" x14ac:dyDescent="0.35">
      <c r="B43" s="822" t="s">
        <v>403</v>
      </c>
      <c r="C43" s="822"/>
      <c r="D43" s="823"/>
      <c r="E43" s="226" t="s">
        <v>413</v>
      </c>
      <c r="F43" s="473" t="s">
        <v>287</v>
      </c>
      <c r="G43" s="819"/>
      <c r="H43" s="226" t="s">
        <v>412</v>
      </c>
      <c r="I43" s="819"/>
      <c r="J43" s="819"/>
      <c r="K43" s="819"/>
      <c r="L43" s="819"/>
      <c r="M43" s="819"/>
      <c r="N43" s="39"/>
      <c r="O43" s="182" t="s">
        <v>415</v>
      </c>
      <c r="P43" s="182" t="s">
        <v>2</v>
      </c>
      <c r="Q43" s="223"/>
      <c r="R43" s="39"/>
      <c r="S43" s="39"/>
      <c r="T43" s="39"/>
      <c r="U43" s="39"/>
      <c r="V43" s="39"/>
      <c r="W43" s="39"/>
      <c r="X43" s="39"/>
      <c r="Y43" s="39"/>
      <c r="Z43" s="39"/>
      <c r="AA43" s="39"/>
    </row>
    <row r="44" spans="1:43" x14ac:dyDescent="0.35">
      <c r="B44" s="39"/>
      <c r="C44" s="77"/>
      <c r="D44" s="39"/>
      <c r="E44" s="52">
        <f>'Rehun käyttö, nettosato'!E11</f>
        <v>0</v>
      </c>
      <c r="F44" s="5">
        <v>1300</v>
      </c>
      <c r="G44" s="819"/>
      <c r="H44" s="5">
        <v>3</v>
      </c>
      <c r="I44" s="819"/>
      <c r="J44" s="819"/>
      <c r="K44" s="819"/>
      <c r="L44" s="819"/>
      <c r="M44" s="819"/>
      <c r="N44" s="39"/>
      <c r="O44" s="36">
        <f>IF(E44=0,0,'Energiantarve Siitossonni'!K5)</f>
        <v>0</v>
      </c>
      <c r="P44" s="36">
        <f>O44*E44</f>
        <v>0</v>
      </c>
      <c r="Q44" s="223"/>
      <c r="R44" s="39"/>
      <c r="S44" s="39"/>
      <c r="T44" s="39"/>
      <c r="U44" s="39"/>
      <c r="V44" s="39"/>
      <c r="W44" s="39"/>
      <c r="X44" s="39"/>
      <c r="Y44" s="39"/>
      <c r="Z44" s="39"/>
      <c r="AA44" s="39"/>
    </row>
    <row r="45" spans="1:43" s="39" customFormat="1" ht="3" customHeight="1" x14ac:dyDescent="0.35">
      <c r="A45" s="49"/>
      <c r="C45" s="220" t="s">
        <v>411</v>
      </c>
      <c r="D45" s="221">
        <f>O44</f>
        <v>0</v>
      </c>
      <c r="E45" s="55"/>
      <c r="F45" s="55"/>
      <c r="G45" s="55"/>
      <c r="H45" s="55"/>
      <c r="I45" s="55"/>
      <c r="J45" s="55"/>
      <c r="K45" s="55"/>
      <c r="L45" s="55"/>
      <c r="M45" s="55"/>
      <c r="P45" s="55"/>
      <c r="Q45" s="223"/>
      <c r="AB45" s="49"/>
      <c r="AC45" s="49"/>
      <c r="AD45" s="49"/>
      <c r="AE45" s="49"/>
      <c r="AF45" s="49"/>
      <c r="AG45" s="49"/>
      <c r="AH45" s="49"/>
      <c r="AI45" s="49"/>
      <c r="AJ45" s="49"/>
      <c r="AK45" s="49"/>
      <c r="AL45" s="49"/>
      <c r="AM45" s="49"/>
      <c r="AN45" s="49"/>
      <c r="AO45" s="49"/>
      <c r="AP45" s="49"/>
      <c r="AQ45" s="49"/>
    </row>
    <row r="46" spans="1:43" ht="25" customHeight="1" x14ac:dyDescent="0.35">
      <c r="B46" s="39"/>
      <c r="C46" s="220" t="s">
        <v>410</v>
      </c>
      <c r="D46" s="221">
        <f>F47</f>
        <v>0</v>
      </c>
      <c r="E46" s="824" t="s">
        <v>363</v>
      </c>
      <c r="F46" s="824"/>
      <c r="G46" s="819"/>
      <c r="H46" s="819"/>
      <c r="I46" s="819"/>
      <c r="J46" s="819"/>
      <c r="K46" s="825" t="s">
        <v>335</v>
      </c>
      <c r="L46" s="825"/>
      <c r="M46" s="825"/>
      <c r="N46" s="39"/>
      <c r="O46" s="218" t="s">
        <v>285</v>
      </c>
      <c r="P46" s="218" t="s">
        <v>334</v>
      </c>
      <c r="Q46" s="223"/>
      <c r="R46" s="39"/>
      <c r="S46" s="39"/>
      <c r="T46" s="39"/>
      <c r="U46" s="39"/>
      <c r="V46" s="39"/>
      <c r="W46" s="39"/>
      <c r="X46" s="39"/>
      <c r="Y46" s="39"/>
      <c r="Z46" s="39"/>
      <c r="AA46" s="39"/>
    </row>
    <row r="47" spans="1:43" ht="15" customHeight="1" x14ac:dyDescent="0.35">
      <c r="B47" s="39"/>
      <c r="C47" s="220" t="s">
        <v>409</v>
      </c>
      <c r="D47" s="221">
        <f>L47</f>
        <v>0</v>
      </c>
      <c r="E47" s="23">
        <f>E23</f>
        <v>0</v>
      </c>
      <c r="F47" s="176">
        <f>IF(E44=0,0,O44*E47)</f>
        <v>0</v>
      </c>
      <c r="G47" s="819"/>
      <c r="H47" s="819"/>
      <c r="I47" s="819"/>
      <c r="J47" s="819"/>
      <c r="K47" s="23">
        <f>K23</f>
        <v>0</v>
      </c>
      <c r="L47" s="234">
        <f>O44*K47</f>
        <v>0</v>
      </c>
      <c r="M47" s="177" t="s">
        <v>284</v>
      </c>
      <c r="N47" s="39"/>
      <c r="O47" s="36">
        <f>L47+F47+O44</f>
        <v>0</v>
      </c>
      <c r="P47" s="36">
        <f>O47*E44</f>
        <v>0</v>
      </c>
      <c r="Q47" s="223"/>
      <c r="R47" s="39"/>
      <c r="S47" s="39"/>
      <c r="T47" s="39"/>
      <c r="U47" s="39"/>
      <c r="V47" s="39"/>
      <c r="W47" s="39"/>
      <c r="X47" s="39"/>
      <c r="Y47" s="39"/>
      <c r="Z47" s="39"/>
      <c r="AA47" s="39"/>
    </row>
    <row r="48" spans="1:43" s="39" customFormat="1" x14ac:dyDescent="0.35">
      <c r="A48" s="49"/>
      <c r="C48" s="222"/>
      <c r="D48" s="184"/>
      <c r="E48" s="55"/>
      <c r="F48" s="55"/>
      <c r="G48" s="55"/>
      <c r="H48" s="55"/>
      <c r="I48" s="55"/>
      <c r="J48" s="55"/>
      <c r="K48" s="55"/>
      <c r="L48" s="55"/>
      <c r="M48" s="55"/>
      <c r="P48" s="217"/>
      <c r="Q48" s="223"/>
      <c r="AB48" s="49"/>
      <c r="AC48" s="49"/>
      <c r="AD48" s="49"/>
      <c r="AE48" s="49"/>
      <c r="AF48" s="49"/>
      <c r="AG48" s="49"/>
      <c r="AH48" s="49"/>
      <c r="AI48" s="49"/>
      <c r="AJ48" s="49"/>
      <c r="AK48" s="49"/>
      <c r="AL48" s="49"/>
      <c r="AM48" s="49"/>
      <c r="AN48" s="49"/>
      <c r="AO48" s="49"/>
      <c r="AP48" s="49"/>
      <c r="AQ48" s="49"/>
    </row>
    <row r="49" spans="2:27" s="49" customFormat="1" x14ac:dyDescent="0.35">
      <c r="B49" s="55"/>
      <c r="C49" s="55"/>
      <c r="D49" s="55"/>
      <c r="E49" s="55"/>
      <c r="F49" s="55"/>
      <c r="G49" s="55"/>
      <c r="H49" s="55"/>
      <c r="I49" s="55"/>
      <c r="J49" s="55"/>
      <c r="K49" s="55"/>
      <c r="L49" s="55"/>
      <c r="M49" s="55"/>
      <c r="N49" s="39"/>
      <c r="O49" s="39"/>
      <c r="P49" s="55"/>
      <c r="Q49" s="223"/>
      <c r="R49" s="39"/>
      <c r="S49" s="39"/>
      <c r="T49" s="39"/>
      <c r="U49" s="39"/>
      <c r="V49" s="39"/>
      <c r="W49" s="39"/>
      <c r="X49" s="39"/>
      <c r="Y49" s="39"/>
      <c r="Z49" s="39"/>
      <c r="AA49" s="39"/>
    </row>
    <row r="50" spans="2:27" s="49" customFormat="1" x14ac:dyDescent="0.35">
      <c r="E50" s="179"/>
      <c r="F50" s="179"/>
      <c r="G50" s="179"/>
      <c r="H50" s="179"/>
      <c r="I50" s="179"/>
      <c r="J50" s="179"/>
      <c r="K50" s="179"/>
      <c r="L50" s="179"/>
      <c r="M50" s="179"/>
      <c r="P50" s="179"/>
    </row>
    <row r="51" spans="2:27" s="49" customFormat="1" x14ac:dyDescent="0.35">
      <c r="E51" s="179"/>
      <c r="F51" s="179"/>
      <c r="G51" s="179"/>
      <c r="H51" s="179"/>
      <c r="I51" s="179"/>
      <c r="J51" s="179"/>
      <c r="K51" s="179"/>
      <c r="L51" s="212"/>
      <c r="M51" s="212"/>
      <c r="N51" s="212"/>
      <c r="O51" s="212"/>
      <c r="P51" s="212"/>
    </row>
    <row r="52" spans="2:27" s="49" customFormat="1" x14ac:dyDescent="0.35">
      <c r="E52" s="179"/>
      <c r="F52" s="179"/>
      <c r="G52" s="179"/>
      <c r="H52" s="179"/>
      <c r="I52" s="179"/>
      <c r="J52" s="179"/>
      <c r="K52" s="179"/>
      <c r="L52" s="213"/>
      <c r="M52" s="213"/>
      <c r="N52" s="213"/>
      <c r="O52" s="213"/>
      <c r="P52" s="213"/>
    </row>
    <row r="53" spans="2:27" s="49" customFormat="1" x14ac:dyDescent="0.35">
      <c r="E53" s="179"/>
      <c r="F53" s="179"/>
      <c r="G53" s="179"/>
      <c r="H53" s="179"/>
      <c r="I53" s="179"/>
      <c r="J53" s="179"/>
      <c r="K53" s="179"/>
      <c r="L53" s="213"/>
      <c r="M53" s="213"/>
      <c r="N53" s="213"/>
      <c r="O53" s="213"/>
      <c r="P53" s="213"/>
    </row>
    <row r="54" spans="2:27" s="49" customFormat="1" x14ac:dyDescent="0.35">
      <c r="B54" s="179"/>
      <c r="C54" s="179"/>
      <c r="D54" s="179"/>
      <c r="E54" s="179"/>
      <c r="F54" s="179"/>
      <c r="G54" s="179"/>
      <c r="H54" s="179"/>
      <c r="I54" s="179"/>
      <c r="J54" s="179"/>
      <c r="K54" s="179"/>
      <c r="L54" s="213"/>
      <c r="M54" s="213"/>
      <c r="N54" s="213"/>
      <c r="O54" s="213"/>
      <c r="P54" s="213"/>
    </row>
    <row r="55" spans="2:27" s="49" customFormat="1" x14ac:dyDescent="0.35">
      <c r="E55" s="179"/>
      <c r="F55" s="179"/>
      <c r="G55" s="179"/>
      <c r="H55" s="179"/>
      <c r="I55" s="179"/>
      <c r="J55" s="179"/>
      <c r="K55" s="179"/>
      <c r="L55" s="213"/>
      <c r="M55" s="213"/>
      <c r="N55" s="213"/>
      <c r="O55" s="213"/>
      <c r="P55" s="213"/>
    </row>
    <row r="56" spans="2:27" s="49" customFormat="1" x14ac:dyDescent="0.35">
      <c r="E56" s="179"/>
      <c r="F56" s="179"/>
      <c r="G56" s="179"/>
      <c r="H56" s="179"/>
      <c r="I56" s="179"/>
      <c r="J56" s="179"/>
      <c r="K56" s="179"/>
      <c r="L56" s="213"/>
      <c r="M56" s="213"/>
      <c r="N56" s="213"/>
      <c r="O56" s="213"/>
      <c r="P56" s="213"/>
    </row>
    <row r="57" spans="2:27" s="49" customFormat="1" x14ac:dyDescent="0.35">
      <c r="E57" s="179"/>
      <c r="F57" s="179"/>
      <c r="G57" s="179"/>
      <c r="H57" s="179"/>
      <c r="I57" s="179"/>
      <c r="J57" s="179"/>
      <c r="K57" s="179"/>
      <c r="L57" s="179"/>
      <c r="M57" s="179"/>
      <c r="P57" s="179"/>
    </row>
    <row r="58" spans="2:27" s="49" customFormat="1" x14ac:dyDescent="0.35">
      <c r="E58" s="179"/>
      <c r="F58" s="179"/>
      <c r="G58" s="179"/>
      <c r="H58" s="179"/>
      <c r="I58" s="179"/>
      <c r="J58" s="179"/>
      <c r="K58" s="179"/>
      <c r="L58" s="179"/>
      <c r="M58" s="179"/>
      <c r="P58" s="179"/>
    </row>
    <row r="59" spans="2:27" s="49" customFormat="1" x14ac:dyDescent="0.35">
      <c r="E59" s="179"/>
      <c r="F59" s="179"/>
      <c r="G59" s="179"/>
      <c r="H59" s="179"/>
      <c r="I59" s="179"/>
      <c r="J59" s="179"/>
      <c r="K59" s="179"/>
      <c r="L59" s="179"/>
      <c r="M59" s="179"/>
      <c r="P59" s="179"/>
    </row>
    <row r="60" spans="2:27" s="49" customFormat="1" x14ac:dyDescent="0.35">
      <c r="E60" s="179"/>
      <c r="F60" s="179"/>
      <c r="G60" s="179"/>
      <c r="H60" s="179"/>
      <c r="I60" s="179"/>
      <c r="J60" s="179"/>
      <c r="K60" s="179"/>
      <c r="L60" s="179"/>
      <c r="M60" s="179"/>
      <c r="P60" s="179"/>
    </row>
    <row r="61" spans="2:27" s="49" customFormat="1" x14ac:dyDescent="0.35">
      <c r="E61" s="179"/>
      <c r="F61" s="179"/>
      <c r="G61" s="179"/>
      <c r="H61" s="179"/>
      <c r="I61" s="179"/>
      <c r="J61" s="179"/>
      <c r="K61" s="179"/>
      <c r="L61" s="179"/>
      <c r="M61" s="179"/>
      <c r="P61" s="179"/>
    </row>
    <row r="62" spans="2:27" s="49" customFormat="1" x14ac:dyDescent="0.35">
      <c r="E62" s="179"/>
      <c r="F62" s="179"/>
      <c r="G62" s="179"/>
      <c r="H62" s="179"/>
      <c r="I62" s="179"/>
      <c r="J62" s="179"/>
      <c r="K62" s="179"/>
      <c r="L62" s="179"/>
      <c r="M62" s="179"/>
      <c r="P62" s="179"/>
    </row>
    <row r="63" spans="2:27" s="49" customFormat="1" x14ac:dyDescent="0.35">
      <c r="E63" s="179"/>
      <c r="F63" s="179"/>
      <c r="G63" s="179"/>
      <c r="H63" s="179"/>
      <c r="I63" s="179"/>
      <c r="J63" s="179"/>
      <c r="K63" s="179"/>
      <c r="L63" s="179"/>
      <c r="M63" s="179"/>
      <c r="P63" s="179"/>
    </row>
    <row r="64" spans="2:27" s="49" customFormat="1" x14ac:dyDescent="0.35">
      <c r="E64" s="179"/>
      <c r="F64" s="179"/>
      <c r="G64" s="179"/>
      <c r="H64" s="179"/>
      <c r="I64" s="179"/>
      <c r="J64" s="179"/>
      <c r="K64" s="179"/>
      <c r="L64" s="179"/>
      <c r="M64" s="179"/>
      <c r="P64" s="179"/>
    </row>
    <row r="65" spans="5:16" s="49" customFormat="1" x14ac:dyDescent="0.35">
      <c r="E65" s="179"/>
      <c r="F65" s="179"/>
      <c r="G65" s="179"/>
      <c r="H65" s="179"/>
      <c r="I65" s="179"/>
      <c r="J65" s="179"/>
      <c r="K65" s="179"/>
      <c r="L65" s="179"/>
      <c r="M65" s="179"/>
      <c r="P65" s="179"/>
    </row>
    <row r="66" spans="5:16" s="49" customFormat="1" x14ac:dyDescent="0.35">
      <c r="E66" s="179"/>
      <c r="F66" s="179"/>
      <c r="G66" s="179"/>
      <c r="H66" s="179"/>
      <c r="I66" s="179"/>
      <c r="J66" s="179"/>
      <c r="K66" s="179"/>
      <c r="L66" s="179"/>
      <c r="M66" s="179"/>
      <c r="P66" s="179"/>
    </row>
    <row r="67" spans="5:16" s="49" customFormat="1" x14ac:dyDescent="0.35">
      <c r="E67" s="179"/>
      <c r="F67" s="179"/>
      <c r="G67" s="179"/>
      <c r="H67" s="179"/>
      <c r="I67" s="179"/>
      <c r="J67" s="179"/>
      <c r="K67" s="179"/>
      <c r="L67" s="179"/>
      <c r="M67" s="179"/>
      <c r="P67" s="179"/>
    </row>
    <row r="68" spans="5:16" s="49" customFormat="1" x14ac:dyDescent="0.35">
      <c r="E68" s="179"/>
      <c r="F68" s="179"/>
      <c r="G68" s="179"/>
      <c r="H68" s="179"/>
      <c r="I68" s="179"/>
      <c r="J68" s="179"/>
      <c r="K68" s="179"/>
      <c r="L68" s="179"/>
      <c r="M68" s="179"/>
      <c r="P68" s="179"/>
    </row>
    <row r="69" spans="5:16" s="49" customFormat="1" x14ac:dyDescent="0.35">
      <c r="E69" s="179"/>
      <c r="F69" s="179"/>
      <c r="G69" s="179"/>
      <c r="H69" s="179"/>
      <c r="I69" s="179"/>
      <c r="J69" s="179"/>
      <c r="K69" s="179"/>
      <c r="L69" s="179"/>
      <c r="M69" s="179"/>
      <c r="P69" s="179"/>
    </row>
    <row r="70" spans="5:16" s="49" customFormat="1" x14ac:dyDescent="0.35">
      <c r="E70" s="179"/>
      <c r="F70" s="179"/>
      <c r="G70" s="179"/>
      <c r="H70" s="179"/>
      <c r="I70" s="179"/>
      <c r="J70" s="179"/>
      <c r="K70" s="179"/>
      <c r="L70" s="179"/>
      <c r="M70" s="179"/>
      <c r="P70" s="179"/>
    </row>
    <row r="71" spans="5:16" s="49" customFormat="1" x14ac:dyDescent="0.35">
      <c r="E71" s="179"/>
      <c r="F71" s="179"/>
      <c r="G71" s="179"/>
      <c r="H71" s="179"/>
      <c r="I71" s="179"/>
      <c r="J71" s="179"/>
      <c r="K71" s="179"/>
      <c r="L71" s="179"/>
      <c r="M71" s="179"/>
      <c r="P71" s="179"/>
    </row>
    <row r="72" spans="5:16" s="49" customFormat="1" x14ac:dyDescent="0.35">
      <c r="E72" s="179"/>
      <c r="F72" s="179"/>
      <c r="G72" s="179"/>
      <c r="H72" s="179"/>
      <c r="I72" s="179"/>
      <c r="J72" s="179"/>
      <c r="K72" s="179"/>
      <c r="L72" s="179"/>
      <c r="M72" s="179"/>
      <c r="P72" s="179"/>
    </row>
    <row r="73" spans="5:16" s="49" customFormat="1" x14ac:dyDescent="0.35">
      <c r="E73" s="179"/>
      <c r="F73" s="179"/>
      <c r="G73" s="179"/>
      <c r="H73" s="179"/>
      <c r="I73" s="179"/>
      <c r="J73" s="179"/>
      <c r="K73" s="179"/>
      <c r="L73" s="179"/>
      <c r="M73" s="179"/>
      <c r="P73" s="179"/>
    </row>
    <row r="74" spans="5:16" s="49" customFormat="1" x14ac:dyDescent="0.35">
      <c r="E74" s="179"/>
      <c r="F74" s="179"/>
      <c r="G74" s="179"/>
      <c r="H74" s="179"/>
      <c r="I74" s="179"/>
      <c r="J74" s="179"/>
      <c r="K74" s="179"/>
      <c r="L74" s="179"/>
      <c r="M74" s="179"/>
      <c r="P74" s="179"/>
    </row>
    <row r="75" spans="5:16" s="49" customFormat="1" x14ac:dyDescent="0.35">
      <c r="E75" s="179"/>
      <c r="F75" s="179"/>
      <c r="G75" s="179"/>
      <c r="H75" s="179"/>
      <c r="I75" s="179"/>
      <c r="J75" s="179"/>
      <c r="K75" s="179"/>
      <c r="L75" s="179"/>
      <c r="M75" s="179"/>
      <c r="P75" s="179"/>
    </row>
    <row r="76" spans="5:16" s="49" customFormat="1" x14ac:dyDescent="0.35">
      <c r="E76" s="179"/>
      <c r="F76" s="179"/>
      <c r="G76" s="179"/>
      <c r="H76" s="179"/>
      <c r="I76" s="179"/>
      <c r="J76" s="179"/>
      <c r="K76" s="179"/>
      <c r="L76" s="179"/>
      <c r="M76" s="179"/>
      <c r="P76" s="179"/>
    </row>
    <row r="77" spans="5:16" s="49" customFormat="1" x14ac:dyDescent="0.35">
      <c r="E77" s="179"/>
      <c r="F77" s="179"/>
      <c r="G77" s="179"/>
      <c r="H77" s="179"/>
      <c r="I77" s="179"/>
      <c r="J77" s="179"/>
      <c r="K77" s="179"/>
      <c r="L77" s="179"/>
      <c r="M77" s="179"/>
      <c r="P77" s="179"/>
    </row>
    <row r="78" spans="5:16" s="49" customFormat="1" x14ac:dyDescent="0.35">
      <c r="E78" s="179"/>
      <c r="F78" s="179"/>
      <c r="G78" s="179"/>
      <c r="H78" s="179"/>
      <c r="I78" s="179"/>
      <c r="J78" s="179"/>
      <c r="K78" s="179"/>
      <c r="L78" s="179"/>
      <c r="M78" s="179"/>
      <c r="P78" s="179"/>
    </row>
    <row r="79" spans="5:16" s="49" customFormat="1" x14ac:dyDescent="0.35">
      <c r="E79" s="179"/>
      <c r="F79" s="179"/>
      <c r="G79" s="179"/>
      <c r="H79" s="179"/>
      <c r="I79" s="179"/>
      <c r="J79" s="179"/>
      <c r="K79" s="179"/>
      <c r="L79" s="179"/>
      <c r="M79" s="179"/>
      <c r="P79" s="179"/>
    </row>
    <row r="80" spans="5:16" s="49" customFormat="1" x14ac:dyDescent="0.35">
      <c r="E80" s="179"/>
      <c r="F80" s="179"/>
      <c r="G80" s="179"/>
      <c r="H80" s="179"/>
      <c r="I80" s="179"/>
      <c r="J80" s="179"/>
      <c r="K80" s="179"/>
      <c r="L80" s="179"/>
      <c r="M80" s="179"/>
      <c r="P80" s="179"/>
    </row>
    <row r="81" spans="5:16" s="49" customFormat="1" x14ac:dyDescent="0.35">
      <c r="E81" s="179"/>
      <c r="F81" s="179"/>
      <c r="G81" s="179"/>
      <c r="H81" s="179"/>
      <c r="I81" s="179"/>
      <c r="J81" s="179"/>
      <c r="K81" s="179"/>
      <c r="L81" s="179"/>
      <c r="M81" s="179"/>
      <c r="P81" s="179"/>
    </row>
    <row r="82" spans="5:16" s="49" customFormat="1" x14ac:dyDescent="0.35">
      <c r="E82" s="179"/>
      <c r="F82" s="179"/>
      <c r="G82" s="179"/>
      <c r="H82" s="179"/>
      <c r="I82" s="179"/>
      <c r="J82" s="179"/>
      <c r="K82" s="179"/>
      <c r="L82" s="179"/>
      <c r="M82" s="179"/>
      <c r="P82" s="179"/>
    </row>
    <row r="83" spans="5:16" s="49" customFormat="1" x14ac:dyDescent="0.35">
      <c r="E83" s="179"/>
      <c r="F83" s="179"/>
      <c r="G83" s="179"/>
      <c r="H83" s="179"/>
      <c r="I83" s="179"/>
      <c r="J83" s="179"/>
      <c r="K83" s="179"/>
      <c r="L83" s="179"/>
      <c r="M83" s="179"/>
      <c r="P83" s="179"/>
    </row>
    <row r="84" spans="5:16" s="49" customFormat="1" x14ac:dyDescent="0.35">
      <c r="E84" s="179"/>
      <c r="F84" s="179"/>
      <c r="G84" s="179"/>
      <c r="H84" s="179"/>
      <c r="I84" s="179"/>
      <c r="J84" s="179"/>
      <c r="K84" s="179"/>
      <c r="L84" s="179"/>
      <c r="M84" s="179"/>
      <c r="P84" s="179"/>
    </row>
    <row r="85" spans="5:16" s="49" customFormat="1" x14ac:dyDescent="0.35">
      <c r="E85" s="179"/>
      <c r="F85" s="179"/>
      <c r="G85" s="179"/>
      <c r="H85" s="179"/>
      <c r="I85" s="179"/>
      <c r="J85" s="179"/>
      <c r="K85" s="179"/>
      <c r="L85" s="179"/>
      <c r="M85" s="179"/>
      <c r="P85" s="179"/>
    </row>
    <row r="86" spans="5:16" s="49" customFormat="1" x14ac:dyDescent="0.35">
      <c r="E86" s="179"/>
      <c r="F86" s="179"/>
      <c r="G86" s="179"/>
      <c r="H86" s="179"/>
      <c r="I86" s="179"/>
      <c r="J86" s="179"/>
      <c r="K86" s="179"/>
      <c r="L86" s="179"/>
      <c r="M86" s="179"/>
      <c r="P86" s="179"/>
    </row>
    <row r="87" spans="5:16" s="49" customFormat="1" x14ac:dyDescent="0.35">
      <c r="E87" s="179"/>
      <c r="F87" s="179"/>
      <c r="G87" s="179"/>
      <c r="H87" s="179"/>
      <c r="I87" s="179"/>
      <c r="J87" s="179"/>
      <c r="K87" s="179"/>
      <c r="L87" s="179"/>
      <c r="M87" s="179"/>
      <c r="P87" s="179"/>
    </row>
    <row r="88" spans="5:16" s="49" customFormat="1" x14ac:dyDescent="0.35">
      <c r="E88" s="179"/>
      <c r="F88" s="179"/>
      <c r="G88" s="179"/>
      <c r="H88" s="179"/>
      <c r="I88" s="179"/>
      <c r="J88" s="179"/>
      <c r="K88" s="179"/>
      <c r="L88" s="179"/>
      <c r="M88" s="179"/>
      <c r="P88" s="179"/>
    </row>
    <row r="89" spans="5:16" s="49" customFormat="1" x14ac:dyDescent="0.35">
      <c r="E89" s="179"/>
      <c r="F89" s="179"/>
      <c r="G89" s="179"/>
      <c r="H89" s="179"/>
      <c r="I89" s="179"/>
      <c r="J89" s="179"/>
      <c r="K89" s="179"/>
      <c r="L89" s="179"/>
      <c r="M89" s="179"/>
      <c r="P89" s="179"/>
    </row>
    <row r="90" spans="5:16" s="49" customFormat="1" x14ac:dyDescent="0.35">
      <c r="E90" s="179"/>
      <c r="F90" s="179"/>
      <c r="G90" s="179"/>
      <c r="H90" s="179"/>
      <c r="I90" s="179"/>
      <c r="J90" s="179"/>
      <c r="K90" s="179"/>
      <c r="L90" s="179"/>
      <c r="M90" s="179"/>
      <c r="P90" s="179"/>
    </row>
    <row r="91" spans="5:16" s="49" customFormat="1" x14ac:dyDescent="0.35">
      <c r="E91" s="179"/>
      <c r="F91" s="179"/>
      <c r="G91" s="179"/>
      <c r="H91" s="179"/>
      <c r="I91" s="179"/>
      <c r="J91" s="179"/>
      <c r="K91" s="179"/>
      <c r="L91" s="179"/>
      <c r="M91" s="179"/>
      <c r="P91" s="179"/>
    </row>
    <row r="92" spans="5:16" s="49" customFormat="1" x14ac:dyDescent="0.35">
      <c r="E92" s="179"/>
      <c r="F92" s="179"/>
      <c r="G92" s="179"/>
      <c r="H92" s="179"/>
      <c r="I92" s="179"/>
      <c r="J92" s="179"/>
      <c r="K92" s="179"/>
      <c r="L92" s="179"/>
      <c r="M92" s="179"/>
      <c r="P92" s="179"/>
    </row>
    <row r="93" spans="5:16" s="49" customFormat="1" x14ac:dyDescent="0.35">
      <c r="E93" s="179"/>
      <c r="F93" s="179"/>
      <c r="G93" s="179"/>
      <c r="H93" s="179"/>
      <c r="I93" s="179"/>
      <c r="J93" s="179"/>
      <c r="K93" s="179"/>
      <c r="L93" s="179"/>
      <c r="M93" s="179"/>
      <c r="P93" s="179"/>
    </row>
    <row r="94" spans="5:16" s="49" customFormat="1" x14ac:dyDescent="0.35">
      <c r="E94" s="179"/>
      <c r="F94" s="179"/>
      <c r="G94" s="179"/>
      <c r="H94" s="179"/>
      <c r="I94" s="179"/>
      <c r="J94" s="179"/>
      <c r="K94" s="179"/>
      <c r="L94" s="179"/>
      <c r="M94" s="179"/>
      <c r="P94" s="179"/>
    </row>
    <row r="95" spans="5:16" s="49" customFormat="1" x14ac:dyDescent="0.35">
      <c r="E95" s="179"/>
      <c r="F95" s="179"/>
      <c r="G95" s="179"/>
      <c r="H95" s="179"/>
      <c r="I95" s="179"/>
      <c r="J95" s="179"/>
      <c r="K95" s="179"/>
      <c r="L95" s="179"/>
      <c r="M95" s="179"/>
      <c r="P95" s="179"/>
    </row>
    <row r="96" spans="5:16" s="49" customFormat="1" x14ac:dyDescent="0.35">
      <c r="E96" s="179"/>
      <c r="F96" s="179"/>
      <c r="G96" s="179"/>
      <c r="H96" s="179"/>
      <c r="I96" s="179"/>
      <c r="J96" s="179"/>
      <c r="K96" s="179"/>
      <c r="L96" s="179"/>
      <c r="M96" s="179"/>
      <c r="P96" s="179"/>
    </row>
    <row r="97" spans="5:16" s="49" customFormat="1" x14ac:dyDescent="0.35">
      <c r="E97" s="179"/>
      <c r="F97" s="179"/>
      <c r="G97" s="179"/>
      <c r="H97" s="179"/>
      <c r="I97" s="179"/>
      <c r="J97" s="179"/>
      <c r="K97" s="179"/>
      <c r="L97" s="179"/>
      <c r="M97" s="179"/>
      <c r="P97" s="179"/>
    </row>
    <row r="98" spans="5:16" s="49" customFormat="1" x14ac:dyDescent="0.35">
      <c r="E98" s="179"/>
      <c r="F98" s="179"/>
      <c r="G98" s="179"/>
      <c r="H98" s="179"/>
      <c r="I98" s="179"/>
      <c r="J98" s="179"/>
      <c r="K98" s="179"/>
      <c r="L98" s="179"/>
      <c r="M98" s="179"/>
      <c r="P98" s="179"/>
    </row>
    <row r="99" spans="5:16" s="49" customFormat="1" x14ac:dyDescent="0.35">
      <c r="E99" s="179"/>
      <c r="F99" s="179"/>
      <c r="G99" s="179"/>
      <c r="H99" s="179"/>
      <c r="I99" s="179"/>
      <c r="J99" s="179"/>
      <c r="K99" s="179"/>
      <c r="L99" s="179"/>
      <c r="M99" s="179"/>
      <c r="P99" s="179"/>
    </row>
    <row r="100" spans="5:16" s="49" customFormat="1" x14ac:dyDescent="0.35">
      <c r="E100" s="179"/>
      <c r="F100" s="179"/>
      <c r="G100" s="179"/>
      <c r="H100" s="179"/>
      <c r="I100" s="179"/>
      <c r="J100" s="179"/>
      <c r="K100" s="179"/>
      <c r="L100" s="179"/>
      <c r="M100" s="179"/>
      <c r="P100" s="179"/>
    </row>
    <row r="101" spans="5:16" s="49" customFormat="1" x14ac:dyDescent="0.35">
      <c r="E101" s="179"/>
      <c r="F101" s="179"/>
      <c r="G101" s="179"/>
      <c r="H101" s="179"/>
      <c r="I101" s="179"/>
      <c r="J101" s="179"/>
      <c r="K101" s="179"/>
      <c r="L101" s="179"/>
      <c r="M101" s="179"/>
      <c r="P101" s="179"/>
    </row>
    <row r="102" spans="5:16" s="49" customFormat="1" x14ac:dyDescent="0.35">
      <c r="E102" s="179"/>
      <c r="F102" s="179"/>
      <c r="G102" s="179"/>
      <c r="H102" s="179"/>
      <c r="I102" s="179"/>
      <c r="J102" s="179"/>
      <c r="K102" s="179"/>
      <c r="L102" s="179"/>
      <c r="M102" s="179"/>
      <c r="P102" s="179"/>
    </row>
    <row r="103" spans="5:16" s="49" customFormat="1" x14ac:dyDescent="0.35">
      <c r="E103" s="179"/>
      <c r="F103" s="179"/>
      <c r="G103" s="179"/>
      <c r="H103" s="179"/>
      <c r="I103" s="179"/>
      <c r="J103" s="179"/>
      <c r="K103" s="179"/>
      <c r="L103" s="179"/>
      <c r="M103" s="179"/>
      <c r="P103" s="179"/>
    </row>
    <row r="104" spans="5:16" s="49" customFormat="1" x14ac:dyDescent="0.35">
      <c r="E104" s="179"/>
      <c r="F104" s="179"/>
      <c r="G104" s="179"/>
      <c r="H104" s="179"/>
      <c r="I104" s="179"/>
      <c r="J104" s="179"/>
      <c r="K104" s="179"/>
      <c r="L104" s="179"/>
      <c r="M104" s="179"/>
      <c r="P104" s="179"/>
    </row>
    <row r="105" spans="5:16" s="49" customFormat="1" x14ac:dyDescent="0.35">
      <c r="E105" s="179"/>
      <c r="F105" s="179"/>
      <c r="G105" s="179"/>
      <c r="H105" s="179"/>
      <c r="I105" s="179"/>
      <c r="J105" s="179"/>
      <c r="K105" s="179"/>
      <c r="L105" s="179"/>
      <c r="M105" s="179"/>
      <c r="P105" s="179"/>
    </row>
    <row r="106" spans="5:16" s="49" customFormat="1" x14ac:dyDescent="0.35">
      <c r="E106" s="179"/>
      <c r="F106" s="179"/>
      <c r="G106" s="179"/>
      <c r="H106" s="179"/>
      <c r="I106" s="179"/>
      <c r="J106" s="179"/>
      <c r="K106" s="179"/>
      <c r="L106" s="179"/>
      <c r="M106" s="179"/>
      <c r="P106" s="179"/>
    </row>
    <row r="107" spans="5:16" s="49" customFormat="1" x14ac:dyDescent="0.35">
      <c r="E107" s="179"/>
      <c r="F107" s="179"/>
      <c r="G107" s="179"/>
      <c r="H107" s="179"/>
      <c r="I107" s="179"/>
      <c r="J107" s="179"/>
      <c r="K107" s="179"/>
      <c r="L107" s="179"/>
      <c r="M107" s="179"/>
      <c r="P107" s="179"/>
    </row>
    <row r="108" spans="5:16" s="49" customFormat="1" x14ac:dyDescent="0.35">
      <c r="E108" s="179"/>
      <c r="F108" s="179"/>
      <c r="G108" s="179"/>
      <c r="H108" s="179"/>
      <c r="I108" s="179"/>
      <c r="J108" s="179"/>
      <c r="K108" s="179"/>
      <c r="L108" s="179"/>
      <c r="M108" s="179"/>
      <c r="P108" s="179"/>
    </row>
    <row r="109" spans="5:16" s="49" customFormat="1" x14ac:dyDescent="0.35">
      <c r="E109" s="179"/>
      <c r="F109" s="179"/>
      <c r="G109" s="179"/>
      <c r="H109" s="179"/>
      <c r="I109" s="179"/>
      <c r="J109" s="179"/>
      <c r="K109" s="179"/>
      <c r="L109" s="179"/>
      <c r="M109" s="179"/>
      <c r="P109" s="179"/>
    </row>
    <row r="110" spans="5:16" s="49" customFormat="1" x14ac:dyDescent="0.35">
      <c r="E110" s="179"/>
      <c r="F110" s="179"/>
      <c r="G110" s="179"/>
      <c r="H110" s="179"/>
      <c r="I110" s="179"/>
      <c r="J110" s="179"/>
      <c r="K110" s="179"/>
      <c r="L110" s="179"/>
      <c r="M110" s="179"/>
      <c r="P110" s="179"/>
    </row>
    <row r="111" spans="5:16" s="49" customFormat="1" x14ac:dyDescent="0.35">
      <c r="E111" s="179"/>
      <c r="F111" s="179"/>
      <c r="G111" s="179"/>
      <c r="H111" s="179"/>
      <c r="I111" s="179"/>
      <c r="J111" s="179"/>
      <c r="K111" s="179"/>
      <c r="L111" s="179"/>
      <c r="M111" s="179"/>
      <c r="P111" s="179"/>
    </row>
    <row r="112" spans="5:16" s="49" customFormat="1" x14ac:dyDescent="0.35">
      <c r="E112" s="179"/>
      <c r="F112" s="179"/>
      <c r="G112" s="179"/>
      <c r="H112" s="179"/>
      <c r="I112" s="179"/>
      <c r="J112" s="179"/>
      <c r="K112" s="179"/>
      <c r="L112" s="179"/>
      <c r="M112" s="179"/>
      <c r="P112" s="179"/>
    </row>
    <row r="113" spans="5:16" s="49" customFormat="1" x14ac:dyDescent="0.35">
      <c r="E113" s="179"/>
      <c r="F113" s="179"/>
      <c r="G113" s="179"/>
      <c r="H113" s="179"/>
      <c r="I113" s="179"/>
      <c r="J113" s="179"/>
      <c r="K113" s="179"/>
      <c r="L113" s="179"/>
      <c r="M113" s="179"/>
      <c r="P113" s="179"/>
    </row>
    <row r="114" spans="5:16" s="49" customFormat="1" x14ac:dyDescent="0.35">
      <c r="E114" s="179"/>
      <c r="F114" s="179"/>
      <c r="G114" s="179"/>
      <c r="H114" s="179"/>
      <c r="I114" s="179"/>
      <c r="J114" s="179"/>
      <c r="K114" s="179"/>
      <c r="L114" s="179"/>
      <c r="M114" s="179"/>
      <c r="P114" s="179"/>
    </row>
    <row r="115" spans="5:16" s="49" customFormat="1" x14ac:dyDescent="0.35">
      <c r="E115" s="179"/>
      <c r="F115" s="179"/>
      <c r="G115" s="179"/>
      <c r="H115" s="179"/>
      <c r="I115" s="179"/>
      <c r="J115" s="179"/>
      <c r="K115" s="179"/>
      <c r="L115" s="179"/>
      <c r="M115" s="179"/>
      <c r="P115" s="179"/>
    </row>
    <row r="116" spans="5:16" s="49" customFormat="1" x14ac:dyDescent="0.35">
      <c r="E116" s="179"/>
      <c r="F116" s="179"/>
      <c r="G116" s="179"/>
      <c r="H116" s="179"/>
      <c r="I116" s="179"/>
      <c r="J116" s="179"/>
      <c r="K116" s="179"/>
      <c r="L116" s="179"/>
      <c r="M116" s="179"/>
      <c r="P116" s="179"/>
    </row>
    <row r="117" spans="5:16" s="49" customFormat="1" x14ac:dyDescent="0.35">
      <c r="E117" s="179"/>
      <c r="F117" s="179"/>
      <c r="G117" s="179"/>
      <c r="H117" s="179"/>
      <c r="I117" s="179"/>
      <c r="J117" s="179"/>
      <c r="K117" s="179"/>
      <c r="L117" s="179"/>
      <c r="M117" s="179"/>
      <c r="P117" s="179"/>
    </row>
    <row r="118" spans="5:16" s="49" customFormat="1" x14ac:dyDescent="0.35">
      <c r="E118" s="179"/>
      <c r="F118" s="179"/>
      <c r="G118" s="179"/>
      <c r="H118" s="179"/>
      <c r="I118" s="179"/>
      <c r="J118" s="179"/>
      <c r="K118" s="179"/>
      <c r="L118" s="179"/>
      <c r="M118" s="179"/>
      <c r="P118" s="179"/>
    </row>
    <row r="119" spans="5:16" s="49" customFormat="1" x14ac:dyDescent="0.35">
      <c r="E119" s="179"/>
      <c r="F119" s="179"/>
      <c r="G119" s="179"/>
      <c r="H119" s="179"/>
      <c r="I119" s="179"/>
      <c r="J119" s="179"/>
      <c r="K119" s="179"/>
      <c r="L119" s="179"/>
      <c r="M119" s="179"/>
      <c r="P119" s="179"/>
    </row>
    <row r="120" spans="5:16" s="49" customFormat="1" x14ac:dyDescent="0.35">
      <c r="E120" s="179"/>
      <c r="F120" s="179"/>
      <c r="G120" s="179"/>
      <c r="H120" s="179"/>
      <c r="I120" s="179"/>
      <c r="J120" s="179"/>
      <c r="K120" s="179"/>
      <c r="L120" s="179"/>
      <c r="M120" s="179"/>
      <c r="P120" s="179"/>
    </row>
    <row r="121" spans="5:16" s="49" customFormat="1" x14ac:dyDescent="0.35">
      <c r="E121" s="179"/>
      <c r="F121" s="179"/>
      <c r="G121" s="179"/>
      <c r="H121" s="179"/>
      <c r="I121" s="179"/>
      <c r="J121" s="179"/>
      <c r="K121" s="179"/>
      <c r="L121" s="179"/>
      <c r="M121" s="179"/>
      <c r="P121" s="179"/>
    </row>
    <row r="122" spans="5:16" s="49" customFormat="1" x14ac:dyDescent="0.35">
      <c r="E122" s="179"/>
      <c r="F122" s="179"/>
      <c r="G122" s="179"/>
      <c r="H122" s="179"/>
      <c r="I122" s="179"/>
      <c r="J122" s="179"/>
      <c r="K122" s="179"/>
      <c r="L122" s="179"/>
      <c r="M122" s="179"/>
      <c r="P122" s="179"/>
    </row>
    <row r="123" spans="5:16" s="49" customFormat="1" x14ac:dyDescent="0.35">
      <c r="E123" s="179"/>
      <c r="F123" s="179"/>
      <c r="G123" s="179"/>
      <c r="H123" s="179"/>
      <c r="I123" s="179"/>
      <c r="J123" s="179"/>
      <c r="K123" s="179"/>
      <c r="L123" s="179"/>
      <c r="M123" s="179"/>
      <c r="P123" s="179"/>
    </row>
    <row r="124" spans="5:16" s="49" customFormat="1" x14ac:dyDescent="0.35">
      <c r="E124" s="179"/>
      <c r="F124" s="179"/>
      <c r="G124" s="179"/>
      <c r="H124" s="179"/>
      <c r="I124" s="179"/>
      <c r="J124" s="179"/>
      <c r="K124" s="179"/>
      <c r="L124" s="179"/>
      <c r="M124" s="179"/>
      <c r="P124" s="179"/>
    </row>
    <row r="125" spans="5:16" s="49" customFormat="1" x14ac:dyDescent="0.35">
      <c r="E125" s="179"/>
      <c r="F125" s="179"/>
      <c r="G125" s="179"/>
      <c r="H125" s="179"/>
      <c r="I125" s="179"/>
      <c r="J125" s="179"/>
      <c r="K125" s="179"/>
      <c r="L125" s="179"/>
      <c r="M125" s="179"/>
      <c r="P125" s="179"/>
    </row>
    <row r="126" spans="5:16" s="49" customFormat="1" x14ac:dyDescent="0.35">
      <c r="E126" s="179"/>
      <c r="F126" s="179"/>
      <c r="G126" s="179"/>
      <c r="H126" s="179"/>
      <c r="I126" s="179"/>
      <c r="J126" s="179"/>
      <c r="K126" s="179"/>
      <c r="L126" s="179"/>
      <c r="M126" s="179"/>
      <c r="P126" s="179"/>
    </row>
    <row r="127" spans="5:16" s="49" customFormat="1" x14ac:dyDescent="0.35">
      <c r="E127" s="179"/>
      <c r="F127" s="179"/>
      <c r="G127" s="179"/>
      <c r="H127" s="179"/>
      <c r="I127" s="179"/>
      <c r="J127" s="179"/>
      <c r="K127" s="179"/>
      <c r="L127" s="179"/>
      <c r="M127" s="179"/>
      <c r="P127" s="179"/>
    </row>
    <row r="128" spans="5:16" s="49" customFormat="1" x14ac:dyDescent="0.35">
      <c r="E128" s="179"/>
      <c r="F128" s="179"/>
      <c r="G128" s="179"/>
      <c r="H128" s="179"/>
      <c r="I128" s="179"/>
      <c r="J128" s="179"/>
      <c r="K128" s="179"/>
      <c r="L128" s="179"/>
      <c r="M128" s="179"/>
      <c r="P128" s="179"/>
    </row>
    <row r="129" spans="5:16" s="49" customFormat="1" x14ac:dyDescent="0.35">
      <c r="E129" s="179"/>
      <c r="F129" s="179"/>
      <c r="G129" s="179"/>
      <c r="H129" s="179"/>
      <c r="I129" s="179"/>
      <c r="J129" s="179"/>
      <c r="K129" s="179"/>
      <c r="L129" s="179"/>
      <c r="M129" s="179"/>
      <c r="P129" s="179"/>
    </row>
    <row r="130" spans="5:16" s="49" customFormat="1" x14ac:dyDescent="0.35">
      <c r="E130" s="179"/>
      <c r="F130" s="179"/>
      <c r="G130" s="179"/>
      <c r="H130" s="179"/>
      <c r="I130" s="179"/>
      <c r="J130" s="179"/>
      <c r="K130" s="179"/>
      <c r="L130" s="179"/>
      <c r="M130" s="179"/>
      <c r="P130" s="179"/>
    </row>
    <row r="131" spans="5:16" s="49" customFormat="1" x14ac:dyDescent="0.35">
      <c r="E131" s="179"/>
      <c r="F131" s="179"/>
      <c r="G131" s="179"/>
      <c r="H131" s="179"/>
      <c r="I131" s="179"/>
      <c r="J131" s="179"/>
      <c r="K131" s="179"/>
      <c r="L131" s="179"/>
      <c r="M131" s="179"/>
      <c r="P131" s="179"/>
    </row>
    <row r="132" spans="5:16" s="49" customFormat="1" x14ac:dyDescent="0.35">
      <c r="E132" s="179"/>
      <c r="F132" s="179"/>
      <c r="G132" s="179"/>
      <c r="H132" s="179"/>
      <c r="I132" s="179"/>
      <c r="J132" s="179"/>
      <c r="K132" s="179"/>
      <c r="L132" s="179"/>
      <c r="M132" s="179"/>
      <c r="P132" s="179"/>
    </row>
    <row r="133" spans="5:16" s="49" customFormat="1" x14ac:dyDescent="0.35">
      <c r="E133" s="179"/>
      <c r="F133" s="179"/>
      <c r="G133" s="179"/>
      <c r="H133" s="179"/>
      <c r="I133" s="179"/>
      <c r="J133" s="179"/>
      <c r="K133" s="179"/>
      <c r="L133" s="179"/>
      <c r="M133" s="179"/>
      <c r="P133" s="179"/>
    </row>
    <row r="134" spans="5:16" s="49" customFormat="1" x14ac:dyDescent="0.35">
      <c r="E134" s="179"/>
      <c r="F134" s="179"/>
      <c r="G134" s="179"/>
      <c r="H134" s="179"/>
      <c r="I134" s="179"/>
      <c r="J134" s="179"/>
      <c r="K134" s="179"/>
      <c r="L134" s="179"/>
      <c r="M134" s="179"/>
      <c r="P134" s="179"/>
    </row>
    <row r="135" spans="5:16" s="49" customFormat="1" x14ac:dyDescent="0.35">
      <c r="E135" s="179"/>
      <c r="F135" s="179"/>
      <c r="G135" s="179"/>
      <c r="H135" s="179"/>
      <c r="I135" s="179"/>
      <c r="J135" s="179"/>
      <c r="K135" s="179"/>
      <c r="L135" s="179"/>
      <c r="M135" s="179"/>
      <c r="P135" s="179"/>
    </row>
    <row r="136" spans="5:16" s="49" customFormat="1" x14ac:dyDescent="0.35">
      <c r="E136" s="179"/>
      <c r="F136" s="179"/>
      <c r="G136" s="179"/>
      <c r="H136" s="179"/>
      <c r="I136" s="179"/>
      <c r="J136" s="179"/>
      <c r="K136" s="179"/>
      <c r="L136" s="179"/>
      <c r="M136" s="179"/>
      <c r="P136" s="179"/>
    </row>
    <row r="137" spans="5:16" s="49" customFormat="1" x14ac:dyDescent="0.35">
      <c r="E137" s="179"/>
      <c r="F137" s="179"/>
      <c r="G137" s="179"/>
      <c r="H137" s="179"/>
      <c r="I137" s="179"/>
      <c r="J137" s="179"/>
      <c r="K137" s="179"/>
      <c r="L137" s="179"/>
      <c r="M137" s="179"/>
      <c r="P137" s="179"/>
    </row>
    <row r="138" spans="5:16" s="49" customFormat="1" x14ac:dyDescent="0.35">
      <c r="E138" s="179"/>
      <c r="F138" s="179"/>
      <c r="G138" s="179"/>
      <c r="H138" s="179"/>
      <c r="I138" s="179"/>
      <c r="J138" s="179"/>
      <c r="K138" s="179"/>
      <c r="L138" s="179"/>
      <c r="M138" s="179"/>
      <c r="P138" s="179"/>
    </row>
    <row r="139" spans="5:16" s="49" customFormat="1" x14ac:dyDescent="0.35">
      <c r="E139" s="179"/>
      <c r="F139" s="179"/>
      <c r="G139" s="179"/>
      <c r="H139" s="179"/>
      <c r="I139" s="179"/>
      <c r="J139" s="179"/>
      <c r="K139" s="179"/>
      <c r="L139" s="179"/>
      <c r="M139" s="179"/>
      <c r="P139" s="179"/>
    </row>
    <row r="140" spans="5:16" s="49" customFormat="1" x14ac:dyDescent="0.35">
      <c r="E140" s="179"/>
      <c r="F140" s="179"/>
      <c r="G140" s="179"/>
      <c r="H140" s="179"/>
      <c r="I140" s="179"/>
      <c r="J140" s="179"/>
      <c r="K140" s="179"/>
      <c r="L140" s="179"/>
      <c r="M140" s="179"/>
      <c r="P140" s="179"/>
    </row>
    <row r="141" spans="5:16" s="49" customFormat="1" x14ac:dyDescent="0.35">
      <c r="E141" s="179"/>
      <c r="F141" s="179"/>
      <c r="G141" s="179"/>
      <c r="H141" s="179"/>
      <c r="I141" s="179"/>
      <c r="J141" s="179"/>
      <c r="K141" s="179"/>
      <c r="L141" s="179"/>
      <c r="M141" s="179"/>
      <c r="P141" s="179"/>
    </row>
    <row r="142" spans="5:16" s="49" customFormat="1" x14ac:dyDescent="0.35">
      <c r="E142" s="179"/>
      <c r="F142" s="179"/>
      <c r="G142" s="179"/>
      <c r="H142" s="179"/>
      <c r="I142" s="179"/>
      <c r="J142" s="179"/>
      <c r="K142" s="179"/>
      <c r="L142" s="179"/>
      <c r="M142" s="179"/>
      <c r="P142" s="179"/>
    </row>
    <row r="143" spans="5:16" s="49" customFormat="1" x14ac:dyDescent="0.35">
      <c r="E143" s="179"/>
      <c r="F143" s="179"/>
      <c r="G143" s="179"/>
      <c r="H143" s="179"/>
      <c r="I143" s="179"/>
      <c r="J143" s="179"/>
      <c r="K143" s="179"/>
      <c r="L143" s="179"/>
      <c r="M143" s="179"/>
      <c r="P143" s="179"/>
    </row>
    <row r="144" spans="5:16" s="49" customFormat="1" x14ac:dyDescent="0.35">
      <c r="E144" s="179"/>
      <c r="F144" s="179"/>
      <c r="G144" s="179"/>
      <c r="H144" s="179"/>
      <c r="I144" s="179"/>
      <c r="J144" s="179"/>
      <c r="K144" s="179"/>
      <c r="L144" s="179"/>
      <c r="M144" s="179"/>
      <c r="P144" s="179"/>
    </row>
    <row r="145" spans="5:16" s="49" customFormat="1" x14ac:dyDescent="0.35">
      <c r="E145" s="179"/>
      <c r="F145" s="179"/>
      <c r="G145" s="179"/>
      <c r="H145" s="179"/>
      <c r="I145" s="179"/>
      <c r="J145" s="179"/>
      <c r="K145" s="179"/>
      <c r="L145" s="179"/>
      <c r="M145" s="179"/>
      <c r="P145" s="179"/>
    </row>
    <row r="146" spans="5:16" s="49" customFormat="1" x14ac:dyDescent="0.35">
      <c r="E146" s="179"/>
      <c r="F146" s="179"/>
      <c r="G146" s="179"/>
      <c r="H146" s="179"/>
      <c r="I146" s="179"/>
      <c r="J146" s="179"/>
      <c r="K146" s="179"/>
      <c r="L146" s="179"/>
      <c r="M146" s="179"/>
      <c r="P146" s="179"/>
    </row>
    <row r="147" spans="5:16" s="49" customFormat="1" x14ac:dyDescent="0.35">
      <c r="E147" s="179"/>
      <c r="F147" s="179"/>
      <c r="G147" s="179"/>
      <c r="H147" s="179"/>
      <c r="I147" s="179"/>
      <c r="J147" s="179"/>
      <c r="K147" s="179"/>
      <c r="L147" s="179"/>
      <c r="M147" s="179"/>
      <c r="P147" s="179"/>
    </row>
    <row r="148" spans="5:16" s="49" customFormat="1" x14ac:dyDescent="0.35">
      <c r="E148" s="179"/>
      <c r="F148" s="179"/>
      <c r="G148" s="179"/>
      <c r="H148" s="179"/>
      <c r="I148" s="179"/>
      <c r="J148" s="179"/>
      <c r="K148" s="179"/>
      <c r="L148" s="179"/>
      <c r="M148" s="179"/>
      <c r="P148" s="179"/>
    </row>
    <row r="149" spans="5:16" s="49" customFormat="1" x14ac:dyDescent="0.35">
      <c r="E149" s="179"/>
      <c r="F149" s="179"/>
      <c r="G149" s="179"/>
      <c r="H149" s="179"/>
      <c r="I149" s="179"/>
      <c r="J149" s="179"/>
      <c r="K149" s="179"/>
      <c r="L149" s="179"/>
      <c r="M149" s="179"/>
      <c r="P149" s="179"/>
    </row>
    <row r="150" spans="5:16" s="49" customFormat="1" x14ac:dyDescent="0.35">
      <c r="E150" s="179"/>
      <c r="F150" s="179"/>
      <c r="G150" s="179"/>
      <c r="H150" s="179"/>
      <c r="I150" s="179"/>
      <c r="J150" s="179"/>
      <c r="K150" s="179"/>
      <c r="L150" s="179"/>
      <c r="M150" s="179"/>
      <c r="P150" s="179"/>
    </row>
    <row r="151" spans="5:16" s="49" customFormat="1" x14ac:dyDescent="0.35">
      <c r="E151" s="179"/>
      <c r="F151" s="179"/>
      <c r="G151" s="179"/>
      <c r="H151" s="179"/>
      <c r="I151" s="179"/>
      <c r="J151" s="179"/>
      <c r="K151" s="179"/>
      <c r="L151" s="179"/>
      <c r="M151" s="179"/>
      <c r="P151" s="179"/>
    </row>
    <row r="152" spans="5:16" s="49" customFormat="1" x14ac:dyDescent="0.35">
      <c r="E152" s="179"/>
      <c r="F152" s="179"/>
      <c r="G152" s="179"/>
      <c r="H152" s="179"/>
      <c r="I152" s="179"/>
      <c r="J152" s="179"/>
      <c r="K152" s="179"/>
      <c r="L152" s="179"/>
      <c r="M152" s="179"/>
      <c r="P152" s="179"/>
    </row>
    <row r="153" spans="5:16" s="49" customFormat="1" x14ac:dyDescent="0.35">
      <c r="E153" s="179"/>
      <c r="F153" s="179"/>
      <c r="G153" s="179"/>
      <c r="H153" s="179"/>
      <c r="I153" s="179"/>
      <c r="J153" s="179"/>
      <c r="K153" s="179"/>
      <c r="L153" s="179"/>
      <c r="M153" s="179"/>
      <c r="P153" s="179"/>
    </row>
    <row r="154" spans="5:16" s="49" customFormat="1" x14ac:dyDescent="0.35">
      <c r="E154" s="179"/>
      <c r="F154" s="179"/>
      <c r="G154" s="179"/>
      <c r="H154" s="179"/>
      <c r="I154" s="179"/>
      <c r="J154" s="179"/>
      <c r="K154" s="179"/>
      <c r="L154" s="179"/>
      <c r="M154" s="179"/>
      <c r="P154" s="179"/>
    </row>
    <row r="155" spans="5:16" s="49" customFormat="1" x14ac:dyDescent="0.35">
      <c r="E155" s="179"/>
      <c r="F155" s="179"/>
      <c r="G155" s="179"/>
      <c r="H155" s="179"/>
      <c r="I155" s="179"/>
      <c r="J155" s="179"/>
      <c r="K155" s="179"/>
      <c r="L155" s="179"/>
      <c r="M155" s="179"/>
      <c r="P155" s="179"/>
    </row>
    <row r="156" spans="5:16" s="49" customFormat="1" x14ac:dyDescent="0.35">
      <c r="E156" s="179"/>
      <c r="F156" s="179"/>
      <c r="G156" s="179"/>
      <c r="H156" s="179"/>
      <c r="I156" s="179"/>
      <c r="J156" s="179"/>
      <c r="K156" s="179"/>
      <c r="L156" s="179"/>
      <c r="M156" s="179"/>
      <c r="P156" s="179"/>
    </row>
    <row r="157" spans="5:16" s="49" customFormat="1" x14ac:dyDescent="0.35">
      <c r="E157" s="179"/>
      <c r="F157" s="179"/>
      <c r="G157" s="179"/>
      <c r="H157" s="179"/>
      <c r="I157" s="179"/>
      <c r="J157" s="179"/>
      <c r="K157" s="179"/>
      <c r="L157" s="179"/>
      <c r="M157" s="179"/>
      <c r="P157" s="179"/>
    </row>
    <row r="158" spans="5:16" s="49" customFormat="1" x14ac:dyDescent="0.35">
      <c r="E158" s="179"/>
      <c r="F158" s="179"/>
      <c r="G158" s="179"/>
      <c r="H158" s="179"/>
      <c r="I158" s="179"/>
      <c r="J158" s="179"/>
      <c r="K158" s="179"/>
      <c r="L158" s="179"/>
      <c r="M158" s="179"/>
      <c r="P158" s="179"/>
    </row>
    <row r="159" spans="5:16" s="49" customFormat="1" x14ac:dyDescent="0.35">
      <c r="E159" s="179"/>
      <c r="F159" s="179"/>
      <c r="G159" s="179"/>
      <c r="H159" s="179"/>
      <c r="I159" s="179"/>
      <c r="J159" s="179"/>
      <c r="K159" s="179"/>
      <c r="L159" s="179"/>
      <c r="M159" s="179"/>
      <c r="P159" s="179"/>
    </row>
    <row r="160" spans="5:16" s="49" customFormat="1" x14ac:dyDescent="0.35">
      <c r="E160" s="179"/>
      <c r="F160" s="179"/>
      <c r="G160" s="179"/>
      <c r="H160" s="179"/>
      <c r="I160" s="179"/>
      <c r="J160" s="179"/>
      <c r="K160" s="179"/>
      <c r="L160" s="179"/>
      <c r="M160" s="179"/>
      <c r="P160" s="179"/>
    </row>
    <row r="161" spans="5:16" s="49" customFormat="1" x14ac:dyDescent="0.35">
      <c r="E161" s="179"/>
      <c r="F161" s="179"/>
      <c r="G161" s="179"/>
      <c r="H161" s="179"/>
      <c r="I161" s="179"/>
      <c r="J161" s="179"/>
      <c r="K161" s="179"/>
      <c r="L161" s="179"/>
      <c r="M161" s="179"/>
      <c r="P161" s="179"/>
    </row>
    <row r="162" spans="5:16" s="49" customFormat="1" x14ac:dyDescent="0.35">
      <c r="E162" s="179"/>
      <c r="F162" s="179"/>
      <c r="G162" s="179"/>
      <c r="H162" s="179"/>
      <c r="I162" s="179"/>
      <c r="J162" s="179"/>
      <c r="K162" s="179"/>
      <c r="L162" s="179"/>
      <c r="M162" s="179"/>
      <c r="P162" s="179"/>
    </row>
    <row r="163" spans="5:16" s="49" customFormat="1" x14ac:dyDescent="0.35">
      <c r="E163" s="179"/>
      <c r="F163" s="179"/>
      <c r="G163" s="179"/>
      <c r="H163" s="179"/>
      <c r="I163" s="179"/>
      <c r="J163" s="179"/>
      <c r="K163" s="179"/>
      <c r="L163" s="179"/>
      <c r="M163" s="179"/>
      <c r="P163" s="179"/>
    </row>
    <row r="164" spans="5:16" s="49" customFormat="1" x14ac:dyDescent="0.35">
      <c r="E164" s="179"/>
      <c r="F164" s="179"/>
      <c r="G164" s="179"/>
      <c r="H164" s="179"/>
      <c r="I164" s="179"/>
      <c r="J164" s="179"/>
      <c r="K164" s="179"/>
      <c r="L164" s="179"/>
      <c r="M164" s="179"/>
      <c r="P164" s="179"/>
    </row>
    <row r="165" spans="5:16" s="49" customFormat="1" x14ac:dyDescent="0.35">
      <c r="E165" s="179"/>
      <c r="F165" s="179"/>
      <c r="G165" s="179"/>
      <c r="H165" s="179"/>
      <c r="I165" s="179"/>
      <c r="J165" s="179"/>
      <c r="K165" s="179"/>
      <c r="L165" s="179"/>
      <c r="M165" s="179"/>
      <c r="P165" s="179"/>
    </row>
    <row r="166" spans="5:16" s="49" customFormat="1" x14ac:dyDescent="0.35">
      <c r="E166" s="179"/>
      <c r="F166" s="179"/>
      <c r="G166" s="179"/>
      <c r="H166" s="179"/>
      <c r="I166" s="179"/>
      <c r="J166" s="179"/>
      <c r="K166" s="179"/>
      <c r="L166" s="179"/>
      <c r="M166" s="179"/>
      <c r="P166" s="179"/>
    </row>
    <row r="167" spans="5:16" s="49" customFormat="1" x14ac:dyDescent="0.35">
      <c r="E167" s="179"/>
      <c r="F167" s="179"/>
      <c r="G167" s="179"/>
      <c r="H167" s="179"/>
      <c r="I167" s="179"/>
      <c r="J167" s="179"/>
      <c r="K167" s="179"/>
      <c r="L167" s="179"/>
      <c r="M167" s="179"/>
      <c r="P167" s="179"/>
    </row>
    <row r="168" spans="5:16" s="49" customFormat="1" x14ac:dyDescent="0.35">
      <c r="E168" s="179"/>
      <c r="F168" s="179"/>
      <c r="G168" s="179"/>
      <c r="H168" s="179"/>
      <c r="I168" s="179"/>
      <c r="J168" s="179"/>
      <c r="K168" s="179"/>
      <c r="L168" s="179"/>
      <c r="M168" s="179"/>
      <c r="P168" s="179"/>
    </row>
    <row r="169" spans="5:16" s="49" customFormat="1" x14ac:dyDescent="0.35">
      <c r="E169" s="179"/>
      <c r="F169" s="179"/>
      <c r="G169" s="179"/>
      <c r="H169" s="179"/>
      <c r="I169" s="179"/>
      <c r="J169" s="179"/>
      <c r="K169" s="179"/>
      <c r="L169" s="179"/>
      <c r="M169" s="179"/>
      <c r="P169" s="179"/>
    </row>
    <row r="170" spans="5:16" s="49" customFormat="1" x14ac:dyDescent="0.35">
      <c r="E170" s="179"/>
      <c r="F170" s="179"/>
      <c r="G170" s="179"/>
      <c r="H170" s="179"/>
      <c r="I170" s="179"/>
      <c r="J170" s="179"/>
      <c r="K170" s="179"/>
      <c r="L170" s="179"/>
      <c r="M170" s="179"/>
      <c r="P170" s="179"/>
    </row>
    <row r="171" spans="5:16" s="49" customFormat="1" x14ac:dyDescent="0.35">
      <c r="E171" s="179"/>
      <c r="F171" s="179"/>
      <c r="G171" s="179"/>
      <c r="H171" s="179"/>
      <c r="I171" s="179"/>
      <c r="J171" s="179"/>
      <c r="K171" s="179"/>
      <c r="L171" s="179"/>
      <c r="M171" s="179"/>
      <c r="P171" s="179"/>
    </row>
    <row r="172" spans="5:16" s="49" customFormat="1" x14ac:dyDescent="0.35">
      <c r="E172" s="179"/>
      <c r="F172" s="179"/>
      <c r="G172" s="179"/>
      <c r="H172" s="179"/>
      <c r="I172" s="179"/>
      <c r="J172" s="179"/>
      <c r="K172" s="179"/>
      <c r="L172" s="179"/>
      <c r="M172" s="179"/>
      <c r="P172" s="179"/>
    </row>
    <row r="173" spans="5:16" s="49" customFormat="1" x14ac:dyDescent="0.35">
      <c r="E173" s="179"/>
      <c r="F173" s="179"/>
      <c r="G173" s="179"/>
      <c r="H173" s="179"/>
      <c r="I173" s="179"/>
      <c r="J173" s="179"/>
      <c r="K173" s="179"/>
      <c r="L173" s="179"/>
      <c r="M173" s="179"/>
      <c r="P173" s="179"/>
    </row>
    <row r="174" spans="5:16" s="49" customFormat="1" x14ac:dyDescent="0.35">
      <c r="E174" s="179"/>
      <c r="F174" s="179"/>
      <c r="G174" s="179"/>
      <c r="H174" s="179"/>
      <c r="I174" s="179"/>
      <c r="J174" s="179"/>
      <c r="K174" s="179"/>
      <c r="L174" s="179"/>
      <c r="M174" s="179"/>
      <c r="P174" s="179"/>
    </row>
    <row r="175" spans="5:16" s="49" customFormat="1" x14ac:dyDescent="0.35">
      <c r="E175" s="179"/>
      <c r="F175" s="179"/>
      <c r="G175" s="179"/>
      <c r="H175" s="179"/>
      <c r="I175" s="179"/>
      <c r="J175" s="179"/>
      <c r="K175" s="179"/>
      <c r="L175" s="179"/>
      <c r="M175" s="179"/>
      <c r="P175" s="179"/>
    </row>
    <row r="176" spans="5:16" s="49" customFormat="1" x14ac:dyDescent="0.35">
      <c r="E176" s="179"/>
      <c r="F176" s="179"/>
      <c r="G176" s="179"/>
      <c r="H176" s="179"/>
      <c r="I176" s="179"/>
      <c r="J176" s="179"/>
      <c r="K176" s="179"/>
      <c r="L176" s="179"/>
      <c r="M176" s="179"/>
      <c r="P176" s="179"/>
    </row>
    <row r="177" spans="5:16" s="49" customFormat="1" x14ac:dyDescent="0.35">
      <c r="E177" s="179"/>
      <c r="F177" s="179"/>
      <c r="G177" s="179"/>
      <c r="H177" s="179"/>
      <c r="I177" s="179"/>
      <c r="J177" s="179"/>
      <c r="K177" s="179"/>
      <c r="L177" s="179"/>
      <c r="M177" s="179"/>
      <c r="P177" s="179"/>
    </row>
    <row r="178" spans="5:16" s="49" customFormat="1" x14ac:dyDescent="0.35">
      <c r="E178" s="179"/>
      <c r="F178" s="179"/>
      <c r="G178" s="179"/>
      <c r="H178" s="179"/>
      <c r="I178" s="179"/>
      <c r="J178" s="179"/>
      <c r="K178" s="179"/>
      <c r="L178" s="179"/>
      <c r="M178" s="179"/>
      <c r="P178" s="179"/>
    </row>
    <row r="179" spans="5:16" s="49" customFormat="1" x14ac:dyDescent="0.35">
      <c r="E179" s="179"/>
      <c r="F179" s="179"/>
      <c r="G179" s="179"/>
      <c r="H179" s="179"/>
      <c r="I179" s="179"/>
      <c r="J179" s="179"/>
      <c r="K179" s="179"/>
      <c r="L179" s="179"/>
      <c r="M179" s="179"/>
      <c r="P179" s="179"/>
    </row>
    <row r="180" spans="5:16" s="49" customFormat="1" x14ac:dyDescent="0.35">
      <c r="E180" s="179"/>
      <c r="F180" s="179"/>
      <c r="G180" s="179"/>
      <c r="H180" s="179"/>
      <c r="I180" s="179"/>
      <c r="J180" s="179"/>
      <c r="K180" s="179"/>
      <c r="L180" s="179"/>
      <c r="M180" s="179"/>
      <c r="P180" s="179"/>
    </row>
    <row r="181" spans="5:16" s="49" customFormat="1" x14ac:dyDescent="0.35">
      <c r="E181" s="179"/>
      <c r="F181" s="179"/>
      <c r="G181" s="179"/>
      <c r="H181" s="179"/>
      <c r="I181" s="179"/>
      <c r="J181" s="179"/>
      <c r="K181" s="179"/>
      <c r="L181" s="179"/>
      <c r="M181" s="179"/>
      <c r="P181" s="179"/>
    </row>
    <row r="182" spans="5:16" s="49" customFormat="1" x14ac:dyDescent="0.35">
      <c r="E182" s="179"/>
      <c r="F182" s="179"/>
      <c r="G182" s="179"/>
      <c r="H182" s="179"/>
      <c r="I182" s="179"/>
      <c r="J182" s="179"/>
      <c r="K182" s="179"/>
      <c r="L182" s="179"/>
      <c r="M182" s="179"/>
      <c r="P182" s="179"/>
    </row>
    <row r="183" spans="5:16" s="49" customFormat="1" x14ac:dyDescent="0.35">
      <c r="E183" s="179"/>
      <c r="F183" s="179"/>
      <c r="G183" s="179"/>
      <c r="H183" s="179"/>
      <c r="I183" s="179"/>
      <c r="J183" s="179"/>
      <c r="K183" s="179"/>
      <c r="L183" s="179"/>
      <c r="M183" s="179"/>
      <c r="P183" s="179"/>
    </row>
    <row r="184" spans="5:16" s="49" customFormat="1" x14ac:dyDescent="0.35">
      <c r="E184" s="179"/>
      <c r="F184" s="179"/>
      <c r="G184" s="179"/>
      <c r="H184" s="179"/>
      <c r="I184" s="179"/>
      <c r="J184" s="179"/>
      <c r="K184" s="179"/>
      <c r="L184" s="179"/>
      <c r="M184" s="179"/>
      <c r="P184" s="179"/>
    </row>
    <row r="185" spans="5:16" s="49" customFormat="1" x14ac:dyDescent="0.35">
      <c r="E185" s="179"/>
      <c r="F185" s="179"/>
      <c r="G185" s="179"/>
      <c r="H185" s="179"/>
      <c r="I185" s="179"/>
      <c r="J185" s="179"/>
      <c r="K185" s="179"/>
      <c r="L185" s="179"/>
      <c r="M185" s="179"/>
      <c r="P185" s="179"/>
    </row>
    <row r="186" spans="5:16" s="49" customFormat="1" x14ac:dyDescent="0.35">
      <c r="E186" s="179"/>
      <c r="F186" s="179"/>
      <c r="G186" s="179"/>
      <c r="H186" s="179"/>
      <c r="I186" s="179"/>
      <c r="J186" s="179"/>
      <c r="K186" s="179"/>
      <c r="L186" s="179"/>
      <c r="M186" s="179"/>
      <c r="P186" s="179"/>
    </row>
    <row r="187" spans="5:16" s="49" customFormat="1" x14ac:dyDescent="0.35">
      <c r="E187" s="179"/>
      <c r="F187" s="179"/>
      <c r="G187" s="179"/>
      <c r="H187" s="179"/>
      <c r="I187" s="179"/>
      <c r="J187" s="179"/>
      <c r="K187" s="179"/>
      <c r="L187" s="179"/>
      <c r="M187" s="179"/>
      <c r="P187" s="179"/>
    </row>
    <row r="188" spans="5:16" s="49" customFormat="1" x14ac:dyDescent="0.35">
      <c r="E188" s="179"/>
      <c r="F188" s="179"/>
      <c r="G188" s="179"/>
      <c r="H188" s="179"/>
      <c r="I188" s="179"/>
      <c r="J188" s="179"/>
      <c r="K188" s="179"/>
      <c r="L188" s="179"/>
      <c r="M188" s="179"/>
      <c r="P188" s="179"/>
    </row>
    <row r="189" spans="5:16" s="49" customFormat="1" x14ac:dyDescent="0.35">
      <c r="E189" s="179"/>
      <c r="F189" s="179"/>
      <c r="G189" s="179"/>
      <c r="H189" s="179"/>
      <c r="I189" s="179"/>
      <c r="J189" s="179"/>
      <c r="K189" s="179"/>
      <c r="L189" s="179"/>
      <c r="M189" s="179"/>
      <c r="P189" s="179"/>
    </row>
    <row r="190" spans="5:16" s="49" customFormat="1" x14ac:dyDescent="0.35">
      <c r="E190" s="179"/>
      <c r="F190" s="179"/>
      <c r="G190" s="179"/>
      <c r="H190" s="179"/>
      <c r="I190" s="179"/>
      <c r="J190" s="179"/>
      <c r="K190" s="179"/>
      <c r="L190" s="179"/>
      <c r="M190" s="179"/>
      <c r="P190" s="179"/>
    </row>
    <row r="191" spans="5:16" s="49" customFormat="1" x14ac:dyDescent="0.35">
      <c r="E191" s="179"/>
      <c r="F191" s="179"/>
      <c r="G191" s="179"/>
      <c r="H191" s="179"/>
      <c r="I191" s="179"/>
      <c r="J191" s="179"/>
      <c r="K191" s="179"/>
      <c r="L191" s="179"/>
      <c r="M191" s="179"/>
      <c r="P191" s="179"/>
    </row>
    <row r="192" spans="5:16" s="49" customFormat="1" x14ac:dyDescent="0.35">
      <c r="E192" s="179"/>
      <c r="F192" s="179"/>
      <c r="G192" s="179"/>
      <c r="H192" s="179"/>
      <c r="I192" s="179"/>
      <c r="J192" s="179"/>
      <c r="K192" s="179"/>
      <c r="L192" s="179"/>
      <c r="M192" s="179"/>
      <c r="P192" s="179"/>
    </row>
    <row r="193" spans="5:16" s="49" customFormat="1" x14ac:dyDescent="0.35">
      <c r="E193" s="179"/>
      <c r="F193" s="179"/>
      <c r="G193" s="179"/>
      <c r="H193" s="179"/>
      <c r="I193" s="179"/>
      <c r="J193" s="179"/>
      <c r="K193" s="179"/>
      <c r="L193" s="179"/>
      <c r="M193" s="179"/>
      <c r="P193" s="179"/>
    </row>
    <row r="194" spans="5:16" s="49" customFormat="1" x14ac:dyDescent="0.35">
      <c r="E194" s="179"/>
      <c r="F194" s="179"/>
      <c r="G194" s="179"/>
      <c r="H194" s="179"/>
      <c r="I194" s="179"/>
      <c r="J194" s="179"/>
      <c r="K194" s="179"/>
      <c r="L194" s="179"/>
      <c r="M194" s="179"/>
      <c r="P194" s="179"/>
    </row>
    <row r="195" spans="5:16" s="49" customFormat="1" x14ac:dyDescent="0.35">
      <c r="E195" s="179"/>
      <c r="F195" s="179"/>
      <c r="G195" s="179"/>
      <c r="H195" s="179"/>
      <c r="I195" s="179"/>
      <c r="J195" s="179"/>
      <c r="K195" s="179"/>
      <c r="L195" s="179"/>
      <c r="M195" s="179"/>
      <c r="P195" s="179"/>
    </row>
    <row r="196" spans="5:16" s="49" customFormat="1" x14ac:dyDescent="0.35">
      <c r="E196" s="179"/>
      <c r="F196" s="179"/>
      <c r="G196" s="179"/>
      <c r="H196" s="179"/>
      <c r="I196" s="179"/>
      <c r="J196" s="179"/>
      <c r="K196" s="179"/>
      <c r="L196" s="179"/>
      <c r="M196" s="179"/>
      <c r="P196" s="179"/>
    </row>
    <row r="197" spans="5:16" s="49" customFormat="1" x14ac:dyDescent="0.35">
      <c r="E197" s="179"/>
      <c r="F197" s="179"/>
      <c r="G197" s="179"/>
      <c r="H197" s="179"/>
      <c r="I197" s="179"/>
      <c r="J197" s="179"/>
      <c r="K197" s="179"/>
      <c r="L197" s="179"/>
      <c r="M197" s="179"/>
      <c r="P197" s="179"/>
    </row>
    <row r="198" spans="5:16" s="49" customFormat="1" x14ac:dyDescent="0.35">
      <c r="E198" s="179"/>
      <c r="F198" s="179"/>
      <c r="G198" s="179"/>
      <c r="H198" s="179"/>
      <c r="I198" s="179"/>
      <c r="J198" s="179"/>
      <c r="K198" s="179"/>
      <c r="L198" s="179"/>
      <c r="M198" s="179"/>
      <c r="P198" s="179"/>
    </row>
    <row r="199" spans="5:16" s="49" customFormat="1" x14ac:dyDescent="0.35">
      <c r="E199" s="179"/>
      <c r="F199" s="179"/>
      <c r="G199" s="179"/>
      <c r="H199" s="179"/>
      <c r="I199" s="179"/>
      <c r="J199" s="179"/>
      <c r="K199" s="179"/>
      <c r="L199" s="179"/>
      <c r="M199" s="179"/>
      <c r="P199" s="179"/>
    </row>
    <row r="200" spans="5:16" s="49" customFormat="1" x14ac:dyDescent="0.35">
      <c r="E200" s="179"/>
      <c r="F200" s="179"/>
      <c r="G200" s="179"/>
      <c r="H200" s="179"/>
      <c r="I200" s="179"/>
      <c r="J200" s="179"/>
      <c r="K200" s="179"/>
      <c r="L200" s="179"/>
      <c r="M200" s="179"/>
      <c r="P200" s="179"/>
    </row>
    <row r="201" spans="5:16" s="49" customFormat="1" x14ac:dyDescent="0.35">
      <c r="E201" s="179"/>
      <c r="F201" s="179"/>
      <c r="G201" s="179"/>
      <c r="H201" s="179"/>
      <c r="I201" s="179"/>
      <c r="J201" s="179"/>
      <c r="K201" s="179"/>
      <c r="L201" s="179"/>
      <c r="M201" s="179"/>
      <c r="P201" s="179"/>
    </row>
    <row r="202" spans="5:16" s="49" customFormat="1" x14ac:dyDescent="0.35">
      <c r="E202" s="179"/>
      <c r="F202" s="179"/>
      <c r="G202" s="179"/>
      <c r="H202" s="179"/>
      <c r="I202" s="179"/>
      <c r="J202" s="179"/>
      <c r="K202" s="179"/>
      <c r="L202" s="179"/>
      <c r="M202" s="179"/>
      <c r="P202" s="179"/>
    </row>
    <row r="203" spans="5:16" s="49" customFormat="1" x14ac:dyDescent="0.35">
      <c r="E203" s="179"/>
      <c r="F203" s="179"/>
      <c r="G203" s="179"/>
      <c r="H203" s="179"/>
      <c r="I203" s="179"/>
      <c r="J203" s="179"/>
      <c r="K203" s="179"/>
      <c r="L203" s="179"/>
      <c r="M203" s="179"/>
      <c r="P203" s="179"/>
    </row>
    <row r="204" spans="5:16" s="49" customFormat="1" x14ac:dyDescent="0.35">
      <c r="E204" s="179"/>
      <c r="F204" s="179"/>
      <c r="G204" s="179"/>
      <c r="H204" s="179"/>
      <c r="I204" s="179"/>
      <c r="J204" s="179"/>
      <c r="K204" s="179"/>
      <c r="L204" s="179"/>
      <c r="M204" s="179"/>
      <c r="P204" s="179"/>
    </row>
    <row r="205" spans="5:16" s="49" customFormat="1" x14ac:dyDescent="0.35">
      <c r="E205" s="179"/>
      <c r="F205" s="179"/>
      <c r="G205" s="179"/>
      <c r="H205" s="179"/>
      <c r="I205" s="179"/>
      <c r="J205" s="179"/>
      <c r="K205" s="179"/>
      <c r="L205" s="179"/>
      <c r="M205" s="179"/>
      <c r="P205" s="179"/>
    </row>
    <row r="206" spans="5:16" s="49" customFormat="1" x14ac:dyDescent="0.35">
      <c r="E206" s="179"/>
      <c r="F206" s="179"/>
      <c r="G206" s="179"/>
      <c r="H206" s="179"/>
      <c r="I206" s="179"/>
      <c r="J206" s="179"/>
      <c r="K206" s="179"/>
      <c r="L206" s="179"/>
      <c r="M206" s="179"/>
      <c r="P206" s="179"/>
    </row>
    <row r="207" spans="5:16" s="49" customFormat="1" x14ac:dyDescent="0.35">
      <c r="E207" s="179"/>
      <c r="F207" s="179"/>
      <c r="G207" s="179"/>
      <c r="H207" s="179"/>
      <c r="I207" s="179"/>
      <c r="J207" s="179"/>
      <c r="K207" s="179"/>
      <c r="L207" s="179"/>
      <c r="M207" s="179"/>
      <c r="P207" s="179"/>
    </row>
    <row r="208" spans="5:16" s="49" customFormat="1" x14ac:dyDescent="0.35">
      <c r="E208" s="179"/>
      <c r="F208" s="179"/>
      <c r="G208" s="179"/>
      <c r="H208" s="179"/>
      <c r="I208" s="179"/>
      <c r="J208" s="179"/>
      <c r="K208" s="179"/>
      <c r="L208" s="179"/>
      <c r="M208" s="179"/>
      <c r="P208" s="179"/>
    </row>
    <row r="209" spans="5:16" s="49" customFormat="1" x14ac:dyDescent="0.35">
      <c r="E209" s="179"/>
      <c r="F209" s="179"/>
      <c r="G209" s="179"/>
      <c r="H209" s="179"/>
      <c r="I209" s="179"/>
      <c r="J209" s="179"/>
      <c r="K209" s="179"/>
      <c r="L209" s="179"/>
      <c r="M209" s="179"/>
      <c r="P209" s="179"/>
    </row>
    <row r="210" spans="5:16" s="49" customFormat="1" x14ac:dyDescent="0.35">
      <c r="E210" s="179"/>
      <c r="F210" s="179"/>
      <c r="G210" s="179"/>
      <c r="H210" s="179"/>
      <c r="I210" s="179"/>
      <c r="J210" s="179"/>
      <c r="K210" s="179"/>
      <c r="L210" s="179"/>
      <c r="M210" s="179"/>
      <c r="P210" s="179"/>
    </row>
    <row r="211" spans="5:16" s="49" customFormat="1" x14ac:dyDescent="0.35">
      <c r="E211" s="179"/>
      <c r="F211" s="179"/>
      <c r="G211" s="179"/>
      <c r="H211" s="179"/>
      <c r="I211" s="179"/>
      <c r="J211" s="179"/>
      <c r="K211" s="179"/>
      <c r="L211" s="179"/>
      <c r="M211" s="179"/>
      <c r="P211" s="179"/>
    </row>
    <row r="212" spans="5:16" s="49" customFormat="1" x14ac:dyDescent="0.35">
      <c r="E212" s="179"/>
      <c r="F212" s="179"/>
      <c r="G212" s="179"/>
      <c r="H212" s="179"/>
      <c r="I212" s="179"/>
      <c r="J212" s="179"/>
      <c r="K212" s="179"/>
      <c r="L212" s="179"/>
      <c r="M212" s="179"/>
      <c r="P212" s="179"/>
    </row>
    <row r="213" spans="5:16" s="49" customFormat="1" x14ac:dyDescent="0.35">
      <c r="E213" s="179"/>
      <c r="F213" s="179"/>
      <c r="G213" s="179"/>
      <c r="H213" s="179"/>
      <c r="I213" s="179"/>
      <c r="J213" s="179"/>
      <c r="K213" s="179"/>
      <c r="L213" s="179"/>
      <c r="M213" s="179"/>
      <c r="P213" s="179"/>
    </row>
    <row r="214" spans="5:16" s="49" customFormat="1" x14ac:dyDescent="0.35">
      <c r="E214" s="179"/>
      <c r="F214" s="179"/>
      <c r="G214" s="179"/>
      <c r="H214" s="179"/>
      <c r="I214" s="179"/>
      <c r="J214" s="179"/>
      <c r="K214" s="179"/>
      <c r="L214" s="179"/>
      <c r="M214" s="179"/>
      <c r="P214" s="179"/>
    </row>
    <row r="215" spans="5:16" s="49" customFormat="1" x14ac:dyDescent="0.35">
      <c r="E215" s="179"/>
      <c r="F215" s="179"/>
      <c r="G215" s="179"/>
      <c r="H215" s="179"/>
      <c r="I215" s="179"/>
      <c r="J215" s="179"/>
      <c r="K215" s="179"/>
      <c r="L215" s="179"/>
      <c r="M215" s="179"/>
      <c r="P215" s="179"/>
    </row>
    <row r="216" spans="5:16" s="49" customFormat="1" x14ac:dyDescent="0.35">
      <c r="E216" s="179"/>
      <c r="F216" s="179"/>
      <c r="G216" s="179"/>
      <c r="H216" s="179"/>
      <c r="I216" s="179"/>
      <c r="J216" s="179"/>
      <c r="K216" s="179"/>
      <c r="L216" s="179"/>
      <c r="M216" s="179"/>
      <c r="P216" s="179"/>
    </row>
    <row r="217" spans="5:16" s="49" customFormat="1" x14ac:dyDescent="0.35">
      <c r="E217" s="179"/>
      <c r="F217" s="179"/>
      <c r="G217" s="179"/>
      <c r="H217" s="179"/>
      <c r="I217" s="179"/>
      <c r="J217" s="179"/>
      <c r="K217" s="179"/>
      <c r="L217" s="179"/>
      <c r="M217" s="179"/>
      <c r="P217" s="179"/>
    </row>
    <row r="218" spans="5:16" s="49" customFormat="1" x14ac:dyDescent="0.35">
      <c r="E218" s="179"/>
      <c r="F218" s="179"/>
      <c r="G218" s="179"/>
      <c r="H218" s="179"/>
      <c r="I218" s="179"/>
      <c r="J218" s="179"/>
      <c r="K218" s="179"/>
      <c r="L218" s="179"/>
      <c r="M218" s="179"/>
      <c r="P218" s="179"/>
    </row>
    <row r="219" spans="5:16" s="49" customFormat="1" x14ac:dyDescent="0.35">
      <c r="E219" s="179"/>
      <c r="F219" s="179"/>
      <c r="G219" s="179"/>
      <c r="H219" s="179"/>
      <c r="I219" s="179"/>
      <c r="J219" s="179"/>
      <c r="K219" s="179"/>
      <c r="L219" s="179"/>
      <c r="M219" s="179"/>
      <c r="P219" s="179"/>
    </row>
    <row r="220" spans="5:16" s="49" customFormat="1" x14ac:dyDescent="0.35">
      <c r="E220" s="179"/>
      <c r="F220" s="179"/>
      <c r="G220" s="179"/>
      <c r="H220" s="179"/>
      <c r="I220" s="179"/>
      <c r="J220" s="179"/>
      <c r="K220" s="179"/>
      <c r="L220" s="179"/>
      <c r="M220" s="179"/>
      <c r="P220" s="179"/>
    </row>
    <row r="221" spans="5:16" s="49" customFormat="1" x14ac:dyDescent="0.35">
      <c r="E221" s="179"/>
      <c r="F221" s="179"/>
      <c r="G221" s="179"/>
      <c r="H221" s="179"/>
      <c r="I221" s="179"/>
      <c r="J221" s="179"/>
      <c r="K221" s="179"/>
      <c r="L221" s="179"/>
      <c r="M221" s="179"/>
      <c r="P221" s="179"/>
    </row>
    <row r="222" spans="5:16" s="49" customFormat="1" x14ac:dyDescent="0.35">
      <c r="E222" s="179"/>
      <c r="F222" s="179"/>
      <c r="G222" s="179"/>
      <c r="H222" s="179"/>
      <c r="I222" s="179"/>
      <c r="J222" s="179"/>
      <c r="K222" s="179"/>
      <c r="L222" s="179"/>
      <c r="M222" s="179"/>
      <c r="P222" s="179"/>
    </row>
    <row r="223" spans="5:16" s="49" customFormat="1" x14ac:dyDescent="0.35">
      <c r="E223" s="179"/>
      <c r="F223" s="179"/>
      <c r="G223" s="179"/>
      <c r="H223" s="179"/>
      <c r="I223" s="179"/>
      <c r="J223" s="179"/>
      <c r="K223" s="179"/>
      <c r="L223" s="179"/>
      <c r="M223" s="179"/>
      <c r="P223" s="179"/>
    </row>
    <row r="224" spans="5:16" s="49" customFormat="1" x14ac:dyDescent="0.35">
      <c r="E224" s="179"/>
      <c r="F224" s="179"/>
      <c r="G224" s="179"/>
      <c r="H224" s="179"/>
      <c r="I224" s="179"/>
      <c r="J224" s="179"/>
      <c r="K224" s="179"/>
      <c r="L224" s="179"/>
      <c r="M224" s="179"/>
      <c r="P224" s="179"/>
    </row>
    <row r="225" spans="5:16" s="49" customFormat="1" x14ac:dyDescent="0.35">
      <c r="E225" s="179"/>
      <c r="F225" s="179"/>
      <c r="G225" s="179"/>
      <c r="H225" s="179"/>
      <c r="I225" s="179"/>
      <c r="J225" s="179"/>
      <c r="K225" s="179"/>
      <c r="L225" s="179"/>
      <c r="M225" s="179"/>
      <c r="P225" s="179"/>
    </row>
    <row r="226" spans="5:16" s="49" customFormat="1" x14ac:dyDescent="0.35">
      <c r="E226" s="179"/>
      <c r="F226" s="179"/>
      <c r="G226" s="179"/>
      <c r="H226" s="179"/>
      <c r="I226" s="179"/>
      <c r="J226" s="179"/>
      <c r="K226" s="179"/>
      <c r="L226" s="179"/>
      <c r="M226" s="179"/>
      <c r="P226" s="179"/>
    </row>
    <row r="227" spans="5:16" s="49" customFormat="1" x14ac:dyDescent="0.35">
      <c r="E227" s="179"/>
      <c r="F227" s="179"/>
      <c r="G227" s="179"/>
      <c r="H227" s="179"/>
      <c r="I227" s="179"/>
      <c r="J227" s="179"/>
      <c r="K227" s="179"/>
      <c r="L227" s="179"/>
      <c r="M227" s="179"/>
      <c r="P227" s="179"/>
    </row>
    <row r="228" spans="5:16" s="49" customFormat="1" x14ac:dyDescent="0.35">
      <c r="E228" s="179"/>
      <c r="F228" s="179"/>
      <c r="G228" s="179"/>
      <c r="H228" s="179"/>
      <c r="I228" s="179"/>
      <c r="J228" s="179"/>
      <c r="K228" s="179"/>
      <c r="L228" s="179"/>
      <c r="M228" s="179"/>
      <c r="P228" s="179"/>
    </row>
    <row r="229" spans="5:16" s="49" customFormat="1" x14ac:dyDescent="0.35">
      <c r="E229" s="179"/>
      <c r="F229" s="179"/>
      <c r="G229" s="179"/>
      <c r="H229" s="179"/>
      <c r="I229" s="179"/>
      <c r="J229" s="179"/>
      <c r="K229" s="179"/>
      <c r="L229" s="179"/>
      <c r="M229" s="179"/>
      <c r="P229" s="179"/>
    </row>
    <row r="230" spans="5:16" s="49" customFormat="1" x14ac:dyDescent="0.35">
      <c r="E230" s="179"/>
      <c r="F230" s="179"/>
      <c r="G230" s="179"/>
      <c r="H230" s="179"/>
      <c r="I230" s="179"/>
      <c r="J230" s="179"/>
      <c r="K230" s="179"/>
      <c r="L230" s="179"/>
      <c r="M230" s="179"/>
      <c r="P230" s="179"/>
    </row>
    <row r="231" spans="5:16" s="49" customFormat="1" x14ac:dyDescent="0.35">
      <c r="E231" s="179"/>
      <c r="F231" s="179"/>
      <c r="G231" s="179"/>
      <c r="H231" s="179"/>
      <c r="I231" s="179"/>
      <c r="J231" s="179"/>
      <c r="K231" s="179"/>
      <c r="L231" s="179"/>
      <c r="M231" s="179"/>
      <c r="P231" s="179"/>
    </row>
    <row r="232" spans="5:16" s="49" customFormat="1" x14ac:dyDescent="0.35">
      <c r="E232" s="179"/>
      <c r="F232" s="179"/>
      <c r="G232" s="179"/>
      <c r="H232" s="179"/>
      <c r="I232" s="179"/>
      <c r="J232" s="179"/>
      <c r="K232" s="179"/>
      <c r="L232" s="179"/>
      <c r="M232" s="179"/>
      <c r="P232" s="179"/>
    </row>
    <row r="233" spans="5:16" s="49" customFormat="1" x14ac:dyDescent="0.35">
      <c r="E233" s="179"/>
      <c r="F233" s="179"/>
      <c r="G233" s="179"/>
      <c r="H233" s="179"/>
      <c r="I233" s="179"/>
      <c r="J233" s="179"/>
      <c r="K233" s="179"/>
      <c r="L233" s="179"/>
      <c r="M233" s="179"/>
      <c r="P233" s="179"/>
    </row>
    <row r="234" spans="5:16" s="49" customFormat="1" x14ac:dyDescent="0.35">
      <c r="E234" s="179"/>
      <c r="F234" s="179"/>
      <c r="G234" s="179"/>
      <c r="H234" s="179"/>
      <c r="I234" s="179"/>
      <c r="J234" s="179"/>
      <c r="K234" s="179"/>
      <c r="L234" s="179"/>
      <c r="M234" s="179"/>
      <c r="P234" s="179"/>
    </row>
    <row r="235" spans="5:16" s="49" customFormat="1" x14ac:dyDescent="0.35">
      <c r="E235" s="179"/>
      <c r="F235" s="179"/>
      <c r="G235" s="179"/>
      <c r="H235" s="179"/>
      <c r="I235" s="179"/>
      <c r="J235" s="179"/>
      <c r="K235" s="179"/>
      <c r="L235" s="179"/>
      <c r="M235" s="179"/>
      <c r="P235" s="179"/>
    </row>
    <row r="236" spans="5:16" s="49" customFormat="1" x14ac:dyDescent="0.35">
      <c r="E236" s="179"/>
      <c r="F236" s="179"/>
      <c r="G236" s="179"/>
      <c r="H236" s="179"/>
      <c r="I236" s="179"/>
      <c r="J236" s="179"/>
      <c r="K236" s="179"/>
      <c r="L236" s="179"/>
      <c r="M236" s="179"/>
      <c r="P236" s="179"/>
    </row>
    <row r="237" spans="5:16" s="49" customFormat="1" x14ac:dyDescent="0.35">
      <c r="E237" s="179"/>
      <c r="F237" s="179"/>
      <c r="G237" s="179"/>
      <c r="H237" s="179"/>
      <c r="I237" s="179"/>
      <c r="J237" s="179"/>
      <c r="K237" s="179"/>
      <c r="L237" s="179"/>
      <c r="M237" s="179"/>
      <c r="P237" s="179"/>
    </row>
    <row r="238" spans="5:16" s="49" customFormat="1" x14ac:dyDescent="0.35">
      <c r="E238" s="179"/>
      <c r="F238" s="179"/>
      <c r="G238" s="179"/>
      <c r="H238" s="179"/>
      <c r="I238" s="179"/>
      <c r="J238" s="179"/>
      <c r="K238" s="179"/>
      <c r="L238" s="179"/>
      <c r="M238" s="179"/>
      <c r="P238" s="179"/>
    </row>
    <row r="239" spans="5:16" s="49" customFormat="1" x14ac:dyDescent="0.35">
      <c r="E239" s="179"/>
      <c r="F239" s="179"/>
      <c r="G239" s="179"/>
      <c r="H239" s="179"/>
      <c r="I239" s="179"/>
      <c r="J239" s="179"/>
      <c r="K239" s="179"/>
      <c r="L239" s="179"/>
      <c r="M239" s="179"/>
      <c r="P239" s="179"/>
    </row>
    <row r="240" spans="5:16" s="49" customFormat="1" x14ac:dyDescent="0.35">
      <c r="E240" s="179"/>
      <c r="F240" s="179"/>
      <c r="G240" s="179"/>
      <c r="H240" s="179"/>
      <c r="I240" s="179"/>
      <c r="J240" s="179"/>
      <c r="K240" s="179"/>
      <c r="L240" s="179"/>
      <c r="M240" s="179"/>
      <c r="P240" s="179"/>
    </row>
    <row r="241" spans="5:16" s="49" customFormat="1" x14ac:dyDescent="0.35">
      <c r="E241" s="179"/>
      <c r="F241" s="179"/>
      <c r="G241" s="179"/>
      <c r="H241" s="179"/>
      <c r="I241" s="179"/>
      <c r="J241" s="179"/>
      <c r="K241" s="179"/>
      <c r="L241" s="179"/>
      <c r="M241" s="179"/>
      <c r="P241" s="179"/>
    </row>
    <row r="242" spans="5:16" s="49" customFormat="1" x14ac:dyDescent="0.35">
      <c r="E242" s="179"/>
      <c r="F242" s="179"/>
      <c r="G242" s="179"/>
      <c r="H242" s="179"/>
      <c r="I242" s="179"/>
      <c r="J242" s="179"/>
      <c r="K242" s="179"/>
      <c r="L242" s="179"/>
      <c r="M242" s="179"/>
      <c r="P242" s="179"/>
    </row>
    <row r="243" spans="5:16" s="49" customFormat="1" x14ac:dyDescent="0.35">
      <c r="E243" s="179"/>
      <c r="F243" s="179"/>
      <c r="G243" s="179"/>
      <c r="H243" s="179"/>
      <c r="I243" s="179"/>
      <c r="J243" s="179"/>
      <c r="K243" s="179"/>
      <c r="L243" s="179"/>
      <c r="M243" s="179"/>
      <c r="P243" s="179"/>
    </row>
    <row r="244" spans="5:16" s="49" customFormat="1" x14ac:dyDescent="0.35">
      <c r="E244" s="179"/>
      <c r="F244" s="179"/>
      <c r="G244" s="179"/>
      <c r="H244" s="179"/>
      <c r="I244" s="179"/>
      <c r="J244" s="179"/>
      <c r="K244" s="179"/>
      <c r="L244" s="179"/>
      <c r="M244" s="179"/>
      <c r="P244" s="179"/>
    </row>
    <row r="245" spans="5:16" s="49" customFormat="1" x14ac:dyDescent="0.35">
      <c r="E245" s="179"/>
      <c r="F245" s="179"/>
      <c r="G245" s="179"/>
      <c r="H245" s="179"/>
      <c r="I245" s="179"/>
      <c r="J245" s="179"/>
      <c r="K245" s="179"/>
      <c r="L245" s="179"/>
      <c r="M245" s="179"/>
      <c r="P245" s="179"/>
    </row>
    <row r="246" spans="5:16" s="49" customFormat="1" x14ac:dyDescent="0.35">
      <c r="E246" s="179"/>
      <c r="F246" s="179"/>
      <c r="G246" s="179"/>
      <c r="H246" s="179"/>
      <c r="I246" s="179"/>
      <c r="J246" s="179"/>
      <c r="K246" s="179"/>
      <c r="L246" s="179"/>
      <c r="M246" s="179"/>
      <c r="P246" s="179"/>
    </row>
    <row r="247" spans="5:16" s="49" customFormat="1" x14ac:dyDescent="0.35">
      <c r="E247" s="179"/>
      <c r="F247" s="179"/>
      <c r="G247" s="179"/>
      <c r="H247" s="179"/>
      <c r="I247" s="179"/>
      <c r="J247" s="179"/>
      <c r="K247" s="179"/>
      <c r="L247" s="179"/>
      <c r="M247" s="179"/>
      <c r="P247" s="179"/>
    </row>
    <row r="248" spans="5:16" s="49" customFormat="1" x14ac:dyDescent="0.35">
      <c r="E248" s="179"/>
      <c r="F248" s="179"/>
      <c r="G248" s="179"/>
      <c r="H248" s="179"/>
      <c r="I248" s="179"/>
      <c r="J248" s="179"/>
      <c r="K248" s="179"/>
      <c r="L248" s="179"/>
      <c r="M248" s="179"/>
      <c r="P248" s="179"/>
    </row>
  </sheetData>
  <sheetProtection algorithmName="SHA-512" hashValue="KA/TLud09aH/epmUL4egsMSrpBTR6jhEpId4ROk2qf1FdEz+COejQJHLq3AwguhIjy7jQybGsKRi5Gztych8aw==" saltValue="8ihnn7qEFPtCS5envUJDUA==" spinCount="100000" sheet="1" objects="1" scenarios="1"/>
  <mergeCells count="60">
    <mergeCell ref="B4:D4"/>
    <mergeCell ref="B13:D13"/>
    <mergeCell ref="B19:D19"/>
    <mergeCell ref="B25:D25"/>
    <mergeCell ref="B31:D31"/>
    <mergeCell ref="K10:M10"/>
    <mergeCell ref="K16:M16"/>
    <mergeCell ref="K22:M22"/>
    <mergeCell ref="K34:M34"/>
    <mergeCell ref="K40:M40"/>
    <mergeCell ref="K28:M28"/>
    <mergeCell ref="M13:M14"/>
    <mergeCell ref="M25:M26"/>
    <mergeCell ref="L13:L14"/>
    <mergeCell ref="L25:L26"/>
    <mergeCell ref="E46:F46"/>
    <mergeCell ref="G46:G47"/>
    <mergeCell ref="K46:M46"/>
    <mergeCell ref="G22:G23"/>
    <mergeCell ref="G34:G35"/>
    <mergeCell ref="G40:G41"/>
    <mergeCell ref="E22:F22"/>
    <mergeCell ref="E34:F34"/>
    <mergeCell ref="E40:F40"/>
    <mergeCell ref="E28:F28"/>
    <mergeCell ref="G28:G29"/>
    <mergeCell ref="H22:H23"/>
    <mergeCell ref="I22:I23"/>
    <mergeCell ref="J22:J23"/>
    <mergeCell ref="H28:H29"/>
    <mergeCell ref="I28:I29"/>
    <mergeCell ref="B37:D37"/>
    <mergeCell ref="B43:D43"/>
    <mergeCell ref="G10:G11"/>
    <mergeCell ref="G16:G17"/>
    <mergeCell ref="E10:F10"/>
    <mergeCell ref="E16:F16"/>
    <mergeCell ref="G43:G44"/>
    <mergeCell ref="H10:H11"/>
    <mergeCell ref="I10:I11"/>
    <mergeCell ref="J10:J11"/>
    <mergeCell ref="H16:H17"/>
    <mergeCell ref="I16:I17"/>
    <mergeCell ref="J16:J17"/>
    <mergeCell ref="M43:M44"/>
    <mergeCell ref="H46:H47"/>
    <mergeCell ref="I46:I47"/>
    <mergeCell ref="J46:J47"/>
    <mergeCell ref="J19:J20"/>
    <mergeCell ref="H34:H35"/>
    <mergeCell ref="H40:H41"/>
    <mergeCell ref="I43:I44"/>
    <mergeCell ref="J43:J44"/>
    <mergeCell ref="K43:K44"/>
    <mergeCell ref="L43:L44"/>
    <mergeCell ref="J28:J29"/>
    <mergeCell ref="I34:I35"/>
    <mergeCell ref="J34:J35"/>
    <mergeCell ref="I40:I41"/>
    <mergeCell ref="J40:J41"/>
  </mergeCells>
  <conditionalFormatting sqref="F8">
    <cfRule type="containsText" dxfId="1019" priority="30" operator="containsText" text="%">
      <formula>NOT(ISERROR(SEARCH("%",F8)))</formula>
    </cfRule>
  </conditionalFormatting>
  <conditionalFormatting sqref="G10:J11">
    <cfRule type="containsText" dxfId="1018" priority="29" operator="containsText" text="max">
      <formula>NOT(ISERROR(SEARCH("max",G10)))</formula>
    </cfRule>
  </conditionalFormatting>
  <conditionalFormatting sqref="G16:G17">
    <cfRule type="containsText" dxfId="1017" priority="28" operator="containsText" text="max">
      <formula>NOT(ISERROR(SEARCH("max",G16)))</formula>
    </cfRule>
  </conditionalFormatting>
  <conditionalFormatting sqref="G22:G23">
    <cfRule type="containsText" dxfId="1016" priority="27" operator="containsText" text="max">
      <formula>NOT(ISERROR(SEARCH("max",G22)))</formula>
    </cfRule>
  </conditionalFormatting>
  <conditionalFormatting sqref="G34:G35">
    <cfRule type="containsText" dxfId="1015" priority="26" operator="containsText" text="max">
      <formula>NOT(ISERROR(SEARCH("max",G34)))</formula>
    </cfRule>
  </conditionalFormatting>
  <conditionalFormatting sqref="G40:G41">
    <cfRule type="containsText" dxfId="1014" priority="25" operator="containsText" text="max">
      <formula>NOT(ISERROR(SEARCH("max",G40)))</formula>
    </cfRule>
  </conditionalFormatting>
  <conditionalFormatting sqref="G46:G47">
    <cfRule type="containsText" dxfId="1013" priority="22" operator="containsText" text="max">
      <formula>NOT(ISERROR(SEARCH("max",G46)))</formula>
    </cfRule>
  </conditionalFormatting>
  <conditionalFormatting sqref="G28:G29">
    <cfRule type="containsText" dxfId="1012" priority="23" operator="containsText" text="max">
      <formula>NOT(ISERROR(SEARCH("max",G28)))</formula>
    </cfRule>
  </conditionalFormatting>
  <conditionalFormatting sqref="A1:XFD3 A26:E26 E4:XFD4 A4:B4 E13:K13 A13 E19:I19 A19:B19 E25 A25 E31:XFD31 A31:B31 A37:B37 E43:F43 A43:B43 A38:K38 M37:XFD38 E37:K37 A5:XFD12 A20:I20 K19:XFD20 A14:K14 N13:XFD14 G25:XFD26 A44:F44 H43:XFD44 A15:XFD18 A21:XFD24 A27:XFD30 A32:XFD36 A39:XFD42 A45:XFD1048576">
    <cfRule type="cellIs" dxfId="1011" priority="21" operator="lessThan">
      <formula>0</formula>
    </cfRule>
  </conditionalFormatting>
  <conditionalFormatting sqref="F26">
    <cfRule type="cellIs" dxfId="1010" priority="18" operator="lessThan">
      <formula>0</formula>
    </cfRule>
  </conditionalFormatting>
  <conditionalFormatting sqref="B13">
    <cfRule type="cellIs" dxfId="1009" priority="17" operator="lessThan">
      <formula>0</formula>
    </cfRule>
  </conditionalFormatting>
  <conditionalFormatting sqref="B25">
    <cfRule type="cellIs" dxfId="1008" priority="16" operator="lessThan">
      <formula>0</formula>
    </cfRule>
  </conditionalFormatting>
  <conditionalFormatting sqref="L37:L38">
    <cfRule type="cellIs" dxfId="1007" priority="15" operator="lessThan">
      <formula>0</formula>
    </cfRule>
  </conditionalFormatting>
  <conditionalFormatting sqref="G16:J17">
    <cfRule type="containsText" dxfId="1006" priority="14" operator="containsText" text="max">
      <formula>NOT(ISERROR(SEARCH("max",G16)))</formula>
    </cfRule>
  </conditionalFormatting>
  <conditionalFormatting sqref="G22:J23">
    <cfRule type="containsText" dxfId="1005" priority="13" operator="containsText" text="max">
      <formula>NOT(ISERROR(SEARCH("max",G22)))</formula>
    </cfRule>
  </conditionalFormatting>
  <conditionalFormatting sqref="G28:J29">
    <cfRule type="containsText" dxfId="1004" priority="12" operator="containsText" text="max">
      <formula>NOT(ISERROR(SEARCH("max",G28)))</formula>
    </cfRule>
  </conditionalFormatting>
  <conditionalFormatting sqref="G34:J35">
    <cfRule type="containsText" dxfId="1003" priority="11" operator="containsText" text="max">
      <formula>NOT(ISERROR(SEARCH("max",G34)))</formula>
    </cfRule>
  </conditionalFormatting>
  <conditionalFormatting sqref="G40:J41">
    <cfRule type="containsText" dxfId="1002" priority="10" operator="containsText" text="max">
      <formula>NOT(ISERROR(SEARCH("max",G40)))</formula>
    </cfRule>
  </conditionalFormatting>
  <conditionalFormatting sqref="G46:J47">
    <cfRule type="containsText" dxfId="1001" priority="9" operator="containsText" text="max">
      <formula>NOT(ISERROR(SEARCH("max",G46)))</formula>
    </cfRule>
  </conditionalFormatting>
  <conditionalFormatting sqref="J19:J20">
    <cfRule type="cellIs" dxfId="1000" priority="8" operator="lessThan">
      <formula>0</formula>
    </cfRule>
  </conditionalFormatting>
  <conditionalFormatting sqref="J19:J20">
    <cfRule type="containsText" dxfId="999" priority="7" operator="containsText" text="max">
      <formula>NOT(ISERROR(SEARCH("max",J19)))</formula>
    </cfRule>
  </conditionalFormatting>
  <conditionalFormatting sqref="L13:M14">
    <cfRule type="cellIs" dxfId="998" priority="6" operator="lessThan">
      <formula>0</formula>
    </cfRule>
  </conditionalFormatting>
  <conditionalFormatting sqref="L13:M14">
    <cfRule type="containsText" dxfId="997" priority="5" operator="containsText" text="max">
      <formula>NOT(ISERROR(SEARCH("max",L13)))</formula>
    </cfRule>
  </conditionalFormatting>
  <conditionalFormatting sqref="L25:M26">
    <cfRule type="containsText" dxfId="996" priority="4" operator="containsText" text="max">
      <formula>NOT(ISERROR(SEARCH("max",L25)))</formula>
    </cfRule>
  </conditionalFormatting>
  <conditionalFormatting sqref="G43:G44">
    <cfRule type="cellIs" dxfId="995" priority="3" operator="lessThan">
      <formula>0</formula>
    </cfRule>
  </conditionalFormatting>
  <conditionalFormatting sqref="G43:G44">
    <cfRule type="containsText" dxfId="994" priority="2" operator="containsText" text="max">
      <formula>NOT(ISERROR(SEARCH("max",G43)))</formula>
    </cfRule>
  </conditionalFormatting>
  <conditionalFormatting sqref="I43:M44">
    <cfRule type="containsText" dxfId="993" priority="1" operator="containsText" text="max">
      <formula>NOT(ISERROR(SEARCH("max",I43)))</formula>
    </cfRule>
  </conditionalFormatting>
  <hyperlinks>
    <hyperlink ref="B43:D43" location="'Energiantarve Siitossonni'!A1" display="Siitossonni" xr:uid="{00000000-0004-0000-0300-000000000000}"/>
    <hyperlink ref="B37:D37" location="'Energiantarve Lihahieho'!A1" display="Lihahieho" xr:uid="{00000000-0004-0000-0300-000001000000}"/>
    <hyperlink ref="B31:D31" location="'Energiantarve Lihasonni'!A1" display="Lihasonni" xr:uid="{00000000-0004-0000-0300-000002000000}"/>
    <hyperlink ref="B25:D25" location="'Energiantarve Emol. uudistus'!A1" display="Hieho (uudistus, emolehmät)" xr:uid="{00000000-0004-0000-0300-000003000000}"/>
    <hyperlink ref="B19:D19" location="'Energiantarve Emolehmä'!A1" display="Emolehmä" xr:uid="{00000000-0004-0000-0300-000004000000}"/>
    <hyperlink ref="B13:D13" location="'Energiantarve Lehmä+uudistus'!A1" display="Hieho (uudistus, maidont.)" xr:uid="{00000000-0004-0000-0300-000005000000}"/>
    <hyperlink ref="B4:D4" location="'Energiantarve Lehmä+uudistus'!A1" display="Lehmä (maidontuotanto)" xr:uid="{00000000-0004-0000-0300-000006000000}"/>
  </hyperlinks>
  <pageMargins left="0.7" right="0.7" top="0.75" bottom="0.75" header="0.3" footer="0.3"/>
  <pageSetup paperSize="9" orientation="portrait" horizontalDpi="300" verticalDpi="300"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59999389629810485"/>
  </sheetPr>
  <dimension ref="A1:AX121"/>
  <sheetViews>
    <sheetView topLeftCell="AS1" zoomScale="78" workbookViewId="0">
      <pane ySplit="1" topLeftCell="A8" activePane="bottomLeft" state="frozen"/>
      <selection activeCell="E1" sqref="E1"/>
      <selection pane="bottomLeft" activeCell="H16" sqref="H16"/>
    </sheetView>
  </sheetViews>
  <sheetFormatPr defaultColWidth="9.1796875" defaultRowHeight="14.5" x14ac:dyDescent="0.35"/>
  <cols>
    <col min="1" max="1" width="2.6328125" style="49" customWidth="1"/>
    <col min="2" max="3" width="2.6328125" style="44" customWidth="1"/>
    <col min="4" max="5" width="14.36328125" style="44" customWidth="1"/>
    <col min="6" max="6" width="2.6328125" style="44" customWidth="1"/>
    <col min="7" max="11" width="9.1796875" style="44"/>
    <col min="12" max="13" width="2.6328125" style="44" customWidth="1"/>
    <col min="14" max="28" width="9.1796875" style="44"/>
    <col min="29" max="30" width="2.6328125" style="49" customWidth="1"/>
    <col min="31" max="50" width="9.1796875" style="49"/>
    <col min="51" max="16384" width="9.1796875" style="44"/>
  </cols>
  <sheetData>
    <row r="1" spans="1:50" s="410" customFormat="1" ht="27" customHeight="1" x14ac:dyDescent="0.35">
      <c r="A1" s="408"/>
      <c r="B1" s="408"/>
      <c r="C1" s="408"/>
      <c r="D1" s="408"/>
      <c r="E1" s="409" t="s">
        <v>336</v>
      </c>
      <c r="F1" s="408"/>
      <c r="G1" s="409"/>
      <c r="H1" s="408"/>
      <c r="I1" s="408"/>
      <c r="J1" s="408"/>
      <c r="K1" s="408"/>
      <c r="L1" s="408"/>
      <c r="M1" s="408"/>
      <c r="N1" s="409" t="s">
        <v>378</v>
      </c>
      <c r="O1" s="408"/>
      <c r="P1" s="408"/>
      <c r="Q1" s="408"/>
      <c r="R1" s="408"/>
      <c r="S1" s="408" t="str">
        <f>CONCATENATE(Etusivu!$F$10,," ",Etusivu!$G$10,", ",Etusivu!$F$7," ",Etusivu!$G$7)</f>
        <v>Laskelman laatija: Lappari-elinkeino -hanke, Laskelmavuosi: 2021</v>
      </c>
      <c r="T1" s="408"/>
      <c r="U1" s="408"/>
      <c r="V1" s="408"/>
      <c r="W1" s="408"/>
      <c r="X1" s="408"/>
      <c r="Y1" s="847" t="s">
        <v>698</v>
      </c>
      <c r="Z1" s="847"/>
      <c r="AA1" s="847"/>
      <c r="AB1" s="847"/>
      <c r="AC1" s="408"/>
      <c r="AD1" s="408"/>
      <c r="AE1" s="408"/>
      <c r="AF1" s="408"/>
      <c r="AG1" s="408"/>
      <c r="AH1" s="408"/>
      <c r="AI1" s="408"/>
      <c r="AJ1" s="408"/>
      <c r="AK1" s="408"/>
      <c r="AL1" s="408"/>
      <c r="AM1" s="408"/>
      <c r="AN1" s="408"/>
      <c r="AO1" s="408"/>
      <c r="AP1" s="408"/>
      <c r="AQ1" s="408"/>
      <c r="AR1" s="408"/>
      <c r="AS1" s="408"/>
      <c r="AT1" s="408"/>
      <c r="AU1" s="408"/>
      <c r="AV1" s="408"/>
      <c r="AW1" s="408"/>
      <c r="AX1" s="408"/>
    </row>
    <row r="2" spans="1:50" s="2" customFormat="1" ht="14.25" customHeight="1" x14ac:dyDescent="0.35">
      <c r="A2" s="3"/>
      <c r="B2" s="4"/>
      <c r="C2" s="1"/>
      <c r="D2" s="1"/>
      <c r="E2" s="1"/>
      <c r="F2" s="1"/>
      <c r="G2" s="1"/>
      <c r="H2" s="1"/>
      <c r="I2" s="1"/>
      <c r="J2" s="1"/>
      <c r="K2" s="1"/>
      <c r="L2" s="1"/>
      <c r="M2" s="1"/>
      <c r="N2" s="1"/>
      <c r="O2" s="1"/>
      <c r="P2" s="1"/>
      <c r="Q2" s="1"/>
      <c r="R2" s="1"/>
      <c r="S2" s="1"/>
      <c r="T2" s="3"/>
      <c r="U2" s="3"/>
      <c r="V2" s="95"/>
      <c r="W2" s="1"/>
      <c r="X2" s="1"/>
      <c r="Y2" s="1"/>
      <c r="Z2" s="3"/>
      <c r="AA2" s="1"/>
      <c r="AB2" s="1"/>
      <c r="AC2" s="1"/>
      <c r="AD2" s="1"/>
      <c r="AE2" s="1"/>
      <c r="AF2" s="1"/>
      <c r="AG2" s="1"/>
      <c r="AH2" s="1"/>
      <c r="AI2" s="3"/>
      <c r="AJ2" s="3"/>
      <c r="AK2" s="1"/>
      <c r="AL2" s="1"/>
      <c r="AM2" s="1"/>
      <c r="AN2" s="1"/>
      <c r="AO2" s="1"/>
      <c r="AP2" s="1"/>
      <c r="AQ2" s="1"/>
      <c r="AR2" s="1"/>
      <c r="AS2" s="1"/>
      <c r="AT2" s="1"/>
      <c r="AU2" s="1"/>
      <c r="AV2" s="1"/>
      <c r="AW2" s="1"/>
      <c r="AX2" s="1"/>
    </row>
    <row r="3" spans="1:50" ht="18.75" customHeight="1" x14ac:dyDescent="0.45">
      <c r="B3" s="211"/>
      <c r="C3" s="39"/>
      <c r="D3" s="39"/>
      <c r="E3" s="39"/>
      <c r="F3" s="39"/>
      <c r="G3" s="39"/>
      <c r="H3" s="39"/>
      <c r="I3" s="39"/>
      <c r="J3" s="39"/>
      <c r="K3" s="39"/>
      <c r="L3" s="39"/>
      <c r="M3" s="39"/>
      <c r="N3" s="848" t="s">
        <v>364</v>
      </c>
      <c r="O3" s="839" t="s">
        <v>252</v>
      </c>
      <c r="P3" s="836" t="s">
        <v>366</v>
      </c>
      <c r="Q3" s="839" t="s">
        <v>365</v>
      </c>
      <c r="R3" s="836" t="s">
        <v>368</v>
      </c>
      <c r="S3" s="842" t="s">
        <v>367</v>
      </c>
      <c r="T3" s="839" t="s">
        <v>369</v>
      </c>
      <c r="U3" s="836" t="s">
        <v>370</v>
      </c>
      <c r="V3" s="839" t="s">
        <v>371</v>
      </c>
      <c r="W3" s="836" t="s">
        <v>372</v>
      </c>
      <c r="X3" s="839" t="s">
        <v>373</v>
      </c>
      <c r="Y3" s="836" t="s">
        <v>374</v>
      </c>
      <c r="Z3" s="839" t="s">
        <v>375</v>
      </c>
      <c r="AA3" s="836" t="s">
        <v>376</v>
      </c>
      <c r="AB3" s="839" t="s">
        <v>377</v>
      </c>
      <c r="AC3" s="39"/>
    </row>
    <row r="4" spans="1:50" ht="18.75" customHeight="1" x14ac:dyDescent="0.45">
      <c r="B4" s="193"/>
      <c r="L4" s="39"/>
      <c r="M4" s="39"/>
      <c r="N4" s="849"/>
      <c r="O4" s="840"/>
      <c r="P4" s="837"/>
      <c r="Q4" s="840"/>
      <c r="R4" s="837"/>
      <c r="S4" s="843"/>
      <c r="T4" s="840"/>
      <c r="U4" s="837"/>
      <c r="V4" s="840"/>
      <c r="W4" s="837"/>
      <c r="X4" s="840"/>
      <c r="Y4" s="837"/>
      <c r="Z4" s="840"/>
      <c r="AA4" s="837"/>
      <c r="AB4" s="840"/>
      <c r="AC4" s="39"/>
    </row>
    <row r="5" spans="1:50" ht="20.25" customHeight="1" x14ac:dyDescent="0.35">
      <c r="L5" s="39"/>
      <c r="M5" s="851" t="s">
        <v>387</v>
      </c>
      <c r="N5" s="850"/>
      <c r="O5" s="841"/>
      <c r="P5" s="838"/>
      <c r="Q5" s="841"/>
      <c r="R5" s="838"/>
      <c r="S5" s="844"/>
      <c r="T5" s="841"/>
      <c r="U5" s="838"/>
      <c r="V5" s="841"/>
      <c r="W5" s="838"/>
      <c r="X5" s="841"/>
      <c r="Y5" s="838"/>
      <c r="Z5" s="841"/>
      <c r="AA5" s="838"/>
      <c r="AB5" s="841"/>
      <c r="AC5" s="39"/>
    </row>
    <row r="6" spans="1:50" ht="24.75" customHeight="1" thickBot="1" x14ac:dyDescent="0.4">
      <c r="B6" s="39"/>
      <c r="C6" s="39"/>
      <c r="D6" s="39"/>
      <c r="E6" s="55" t="s">
        <v>354</v>
      </c>
      <c r="F6" s="39"/>
      <c r="G6" s="180" t="s">
        <v>350</v>
      </c>
      <c r="H6" s="202" t="s">
        <v>351</v>
      </c>
      <c r="I6" s="180" t="s">
        <v>352</v>
      </c>
      <c r="J6" s="200" t="s">
        <v>60</v>
      </c>
      <c r="K6" s="180" t="s">
        <v>353</v>
      </c>
      <c r="L6" s="55"/>
      <c r="M6" s="851"/>
      <c r="N6" s="568" t="s">
        <v>390</v>
      </c>
      <c r="O6" s="568" t="s">
        <v>391</v>
      </c>
      <c r="P6" s="568" t="s">
        <v>392</v>
      </c>
      <c r="Q6" s="568" t="s">
        <v>393</v>
      </c>
      <c r="R6" s="568" t="s">
        <v>382</v>
      </c>
      <c r="S6" s="568" t="s">
        <v>389</v>
      </c>
      <c r="T6" s="568" t="s">
        <v>394</v>
      </c>
      <c r="U6" s="568" t="s">
        <v>383</v>
      </c>
      <c r="V6" s="568" t="s">
        <v>384</v>
      </c>
      <c r="W6" s="568" t="s">
        <v>385</v>
      </c>
      <c r="X6" s="568" t="s">
        <v>388</v>
      </c>
      <c r="Y6" s="568" t="s">
        <v>395</v>
      </c>
      <c r="Z6" s="568" t="s">
        <v>386</v>
      </c>
      <c r="AA6" s="568" t="s">
        <v>396</v>
      </c>
      <c r="AB6" s="568" t="s">
        <v>397</v>
      </c>
      <c r="AC6" s="39"/>
    </row>
    <row r="7" spans="1:50" ht="15" thickBot="1" x14ac:dyDescent="0.4">
      <c r="B7" s="185" t="s">
        <v>9</v>
      </c>
      <c r="E7" s="186">
        <f>SUM(E9:E24)</f>
        <v>20</v>
      </c>
      <c r="F7" s="39"/>
      <c r="G7" s="187">
        <f>IF(E7=0,0,($E$9*G9+$E$14*G14+$E$19*G19+$E$24*G24)/E7)</f>
        <v>30000</v>
      </c>
      <c r="H7" s="201">
        <f>IF(G7=0,0,I7/G7*1000)</f>
        <v>323.33333333333331</v>
      </c>
      <c r="I7" s="187">
        <f>IF(E7=0,0,($E$9*I9+$E$14*I14+$E$19*I19+$E$24*I24)/E7)</f>
        <v>9700</v>
      </c>
      <c r="J7" s="203">
        <f>IF(I7=0,0,K7/I7)</f>
        <v>11.131958762886597</v>
      </c>
      <c r="K7" s="187">
        <f>IF(E7=0,0,($E$9*K9+$E$14*K14+$E$19*K19+$E$24*K24)/E7)</f>
        <v>107980</v>
      </c>
      <c r="L7" s="210"/>
      <c r="M7" s="39"/>
      <c r="N7" s="201">
        <f>H7</f>
        <v>323.33333333333331</v>
      </c>
      <c r="O7" s="198">
        <f>IF(($I7*$E7)=0,0,(O9*$I9*$E9+O14*$I14*$E14+O19*$I19*$E19+O24*$I24*$E24)/($I7*$E7))</f>
        <v>0</v>
      </c>
      <c r="P7" s="204">
        <f>IF(($I7*$E7)=0,0,(P9*$I9*$E9+P14*$I14*$E14+P19*$I19*$E19+P24*$I24*$E24)/($I7*$E7))</f>
        <v>0</v>
      </c>
      <c r="Q7" s="198">
        <f>IF(($I7*$E7)=0,0,(Q9*$I9*$E9+Q14*$I14*$E14+Q19*$I19*$E19+Q24*$I24*$E24)/($I7*$E7))</f>
        <v>0</v>
      </c>
      <c r="R7" s="204">
        <f>IF(($I7*$E7)=0,0,(R9*$I9*$E9+R14*$I14*$E14+R19*$I19*$E19+R24*$I24*$E24)/($I7*$E7))</f>
        <v>0</v>
      </c>
      <c r="S7" s="203">
        <f>J7</f>
        <v>11.131958762886597</v>
      </c>
      <c r="T7" s="198">
        <f t="shared" ref="T7:AB7" si="0">IF(($I7*$E7)=0,0,(T9*$I9*$E9+T14*$I14*$E14+T19*$I19*$E19+T24*$I24*$E24)/($I7*$E7))</f>
        <v>0</v>
      </c>
      <c r="U7" s="204">
        <f t="shared" si="0"/>
        <v>0</v>
      </c>
      <c r="V7" s="189">
        <f t="shared" si="0"/>
        <v>0</v>
      </c>
      <c r="W7" s="204">
        <f t="shared" si="0"/>
        <v>0</v>
      </c>
      <c r="X7" s="198">
        <f t="shared" si="0"/>
        <v>0</v>
      </c>
      <c r="Y7" s="204">
        <f t="shared" si="0"/>
        <v>0</v>
      </c>
      <c r="Z7" s="198">
        <f t="shared" si="0"/>
        <v>0</v>
      </c>
      <c r="AA7" s="204">
        <f t="shared" si="0"/>
        <v>0</v>
      </c>
      <c r="AB7" s="198">
        <f t="shared" si="0"/>
        <v>0</v>
      </c>
      <c r="AC7" s="39"/>
    </row>
    <row r="8" spans="1:50" ht="3.75" customHeight="1" thickBot="1" x14ac:dyDescent="0.4">
      <c r="B8" s="39"/>
      <c r="C8" s="39"/>
      <c r="D8" s="39"/>
      <c r="E8" s="39"/>
      <c r="F8" s="39"/>
      <c r="L8" s="39"/>
      <c r="M8" s="39"/>
      <c r="N8" s="188"/>
      <c r="S8" s="189"/>
      <c r="V8" s="197"/>
      <c r="AC8" s="39"/>
    </row>
    <row r="9" spans="1:50" ht="15" thickBot="1" x14ac:dyDescent="0.4">
      <c r="B9" s="39"/>
      <c r="C9" s="845" t="s">
        <v>345</v>
      </c>
      <c r="D9" s="846"/>
      <c r="E9" s="215">
        <f>'Rehun käyttö, nettosato'!E17-Rehuntuotanto!E14-Rehuntuotanto!E19-Rehuntuotanto!E24</f>
        <v>20</v>
      </c>
      <c r="F9" s="39"/>
      <c r="G9" s="191">
        <f>SUM(G10:G12)</f>
        <v>30000</v>
      </c>
      <c r="H9" s="201">
        <f>IF(G9=0,0,I9/G9*1000)</f>
        <v>323.33333333333331</v>
      </c>
      <c r="I9" s="191">
        <f>SUM(I10:I12)</f>
        <v>9700</v>
      </c>
      <c r="J9" s="203">
        <f>IF(I9=0,0,K9/I9)</f>
        <v>11.131958762886597</v>
      </c>
      <c r="K9" s="191">
        <f>SUM(K10:K12)</f>
        <v>107980</v>
      </c>
      <c r="L9" s="209"/>
      <c r="M9" s="39"/>
      <c r="N9" s="205">
        <f t="shared" ref="N9:N27" si="1">H9</f>
        <v>323.33333333333331</v>
      </c>
      <c r="O9" s="198">
        <f>IF($I9=0,0,(O10*$I10+O11*$I11+O12*$I12)/$I9)</f>
        <v>0</v>
      </c>
      <c r="P9" s="204">
        <f>IF($I9=0,0,(P10*$I10+P11*$I11+P12*$I12)/$I9)</f>
        <v>0</v>
      </c>
      <c r="Q9" s="198">
        <f>IF($I9=0,0,(Q10*$I10+Q11*$I11+Q12*$I12)/$I9)</f>
        <v>0</v>
      </c>
      <c r="R9" s="204">
        <f>IF($I9=0,0,(R10*$I10+R11*$I11+R12*$I12)/$I9)</f>
        <v>0</v>
      </c>
      <c r="S9" s="206">
        <f t="shared" ref="S9:S27" si="2">J9</f>
        <v>11.131958762886597</v>
      </c>
      <c r="T9" s="198">
        <f t="shared" ref="T9:AB9" si="3">IF($I9=0,0,(T10*$I10+T11*$I11+T12*$I12)/$I9)</f>
        <v>0</v>
      </c>
      <c r="U9" s="204">
        <f t="shared" si="3"/>
        <v>0</v>
      </c>
      <c r="V9" s="189">
        <f t="shared" si="3"/>
        <v>0</v>
      </c>
      <c r="W9" s="204">
        <f t="shared" si="3"/>
        <v>0</v>
      </c>
      <c r="X9" s="198">
        <f t="shared" si="3"/>
        <v>0</v>
      </c>
      <c r="Y9" s="204">
        <f t="shared" si="3"/>
        <v>0</v>
      </c>
      <c r="Z9" s="198">
        <f t="shared" si="3"/>
        <v>0</v>
      </c>
      <c r="AA9" s="204">
        <f t="shared" si="3"/>
        <v>0</v>
      </c>
      <c r="AB9" s="198">
        <f t="shared" si="3"/>
        <v>0</v>
      </c>
      <c r="AC9" s="39"/>
    </row>
    <row r="10" spans="1:50" x14ac:dyDescent="0.35">
      <c r="B10" s="39"/>
      <c r="C10" s="39"/>
      <c r="D10" s="39" t="s">
        <v>337</v>
      </c>
      <c r="E10" s="39"/>
      <c r="F10" s="39"/>
      <c r="G10" s="87">
        <v>20000</v>
      </c>
      <c r="H10" s="35">
        <v>320</v>
      </c>
      <c r="I10" s="192">
        <f>G10*H10/1000</f>
        <v>6400</v>
      </c>
      <c r="J10" s="190">
        <v>11.2</v>
      </c>
      <c r="K10" s="192">
        <f>I10*J10</f>
        <v>71680</v>
      </c>
      <c r="L10" s="209"/>
      <c r="M10" s="39"/>
      <c r="N10" s="201">
        <f t="shared" si="1"/>
        <v>320</v>
      </c>
      <c r="O10" s="35"/>
      <c r="P10" s="35"/>
      <c r="Q10" s="35"/>
      <c r="R10" s="35"/>
      <c r="S10" s="203">
        <f t="shared" si="2"/>
        <v>11.2</v>
      </c>
      <c r="T10" s="35"/>
      <c r="U10" s="35"/>
      <c r="V10" s="10"/>
      <c r="W10" s="35"/>
      <c r="X10" s="35"/>
      <c r="Y10" s="35"/>
      <c r="Z10" s="35"/>
      <c r="AA10" s="35"/>
      <c r="AB10" s="35"/>
      <c r="AC10" s="39"/>
    </row>
    <row r="11" spans="1:50" x14ac:dyDescent="0.35">
      <c r="B11" s="39"/>
      <c r="C11" s="39"/>
      <c r="D11" s="39" t="s">
        <v>338</v>
      </c>
      <c r="E11" s="39"/>
      <c r="F11" s="39"/>
      <c r="G11" s="35">
        <v>10000</v>
      </c>
      <c r="H11" s="35">
        <v>330</v>
      </c>
      <c r="I11" s="192">
        <f>G11*H11/1000</f>
        <v>3300</v>
      </c>
      <c r="J11" s="190">
        <v>11</v>
      </c>
      <c r="K11" s="192">
        <f>I11*J11</f>
        <v>36300</v>
      </c>
      <c r="L11" s="209"/>
      <c r="M11" s="39"/>
      <c r="N11" s="201">
        <f t="shared" si="1"/>
        <v>330</v>
      </c>
      <c r="O11" s="35"/>
      <c r="P11" s="35"/>
      <c r="Q11" s="35"/>
      <c r="R11" s="35"/>
      <c r="S11" s="203">
        <f t="shared" si="2"/>
        <v>11</v>
      </c>
      <c r="T11" s="35"/>
      <c r="U11" s="35"/>
      <c r="V11" s="10"/>
      <c r="W11" s="35"/>
      <c r="X11" s="35"/>
      <c r="Y11" s="35"/>
      <c r="Z11" s="35"/>
      <c r="AA11" s="35"/>
      <c r="AB11" s="35"/>
      <c r="AC11" s="39"/>
    </row>
    <row r="12" spans="1:50" x14ac:dyDescent="0.35">
      <c r="B12" s="39"/>
      <c r="C12" s="39"/>
      <c r="D12" s="39" t="s">
        <v>339</v>
      </c>
      <c r="E12" s="39"/>
      <c r="F12" s="39"/>
      <c r="G12" s="35"/>
      <c r="H12" s="35"/>
      <c r="I12" s="192">
        <f>G12*H12/1000</f>
        <v>0</v>
      </c>
      <c r="J12" s="190">
        <v>10.5</v>
      </c>
      <c r="K12" s="192">
        <f>I12*J12</f>
        <v>0</v>
      </c>
      <c r="L12" s="209"/>
      <c r="M12" s="39"/>
      <c r="N12" s="201">
        <f t="shared" si="1"/>
        <v>0</v>
      </c>
      <c r="O12" s="35"/>
      <c r="P12" s="35"/>
      <c r="Q12" s="35"/>
      <c r="R12" s="35"/>
      <c r="S12" s="203">
        <f t="shared" si="2"/>
        <v>10.5</v>
      </c>
      <c r="T12" s="35"/>
      <c r="U12" s="35"/>
      <c r="V12" s="10"/>
      <c r="W12" s="35"/>
      <c r="X12" s="35"/>
      <c r="Y12" s="35"/>
      <c r="Z12" s="35"/>
      <c r="AA12" s="35"/>
      <c r="AB12" s="35"/>
      <c r="AC12" s="39"/>
    </row>
    <row r="13" spans="1:50" ht="3.75" customHeight="1" thickBot="1" x14ac:dyDescent="0.4">
      <c r="B13" s="39"/>
      <c r="C13" s="39"/>
      <c r="D13" s="39"/>
      <c r="E13" s="39"/>
      <c r="F13" s="39"/>
      <c r="L13" s="39"/>
      <c r="M13" s="39"/>
      <c r="N13" s="188"/>
      <c r="S13" s="189"/>
      <c r="V13" s="197"/>
      <c r="AC13" s="39"/>
    </row>
    <row r="14" spans="1:50" ht="15" thickBot="1" x14ac:dyDescent="0.4">
      <c r="B14" s="39"/>
      <c r="C14" s="845" t="s">
        <v>346</v>
      </c>
      <c r="D14" s="846"/>
      <c r="E14" s="190"/>
      <c r="F14" s="39"/>
      <c r="G14" s="191">
        <f>SUM(G15:G17)</f>
        <v>0</v>
      </c>
      <c r="H14" s="201">
        <f>IF(G14=0,0,I14/G14*1000)</f>
        <v>0</v>
      </c>
      <c r="I14" s="191">
        <f>SUM(I15:I17)</f>
        <v>0</v>
      </c>
      <c r="J14" s="203">
        <f>IF(I14=0,0,K14/I14)</f>
        <v>0</v>
      </c>
      <c r="K14" s="191">
        <f>SUM(K15:K17)</f>
        <v>0</v>
      </c>
      <c r="L14" s="209"/>
      <c r="M14" s="39"/>
      <c r="N14" s="205">
        <f t="shared" si="1"/>
        <v>0</v>
      </c>
      <c r="O14" s="198">
        <f>IF($I14=0,0,(O15*$I15+O16*$I16+O17*$I17)/$I14)</f>
        <v>0</v>
      </c>
      <c r="P14" s="204">
        <f>IF($I14=0,0,(P15*$I15+P16*$I16+P17*$I17)/$I14)</f>
        <v>0</v>
      </c>
      <c r="Q14" s="198">
        <f>IF($I14=0,0,(Q15*$I15+Q16*$I16+Q17*$I17)/$I14)</f>
        <v>0</v>
      </c>
      <c r="R14" s="204">
        <f>IF($I14=0,0,(R15*$I15+R16*$I16+R17*$I17)/$I14)</f>
        <v>0</v>
      </c>
      <c r="S14" s="206">
        <f t="shared" si="2"/>
        <v>0</v>
      </c>
      <c r="T14" s="198">
        <f t="shared" ref="T14:AB14" si="4">IF($I14=0,0,(T15*$I15+T16*$I16+T17*$I17)/$I14)</f>
        <v>0</v>
      </c>
      <c r="U14" s="204">
        <f t="shared" si="4"/>
        <v>0</v>
      </c>
      <c r="V14" s="189">
        <f t="shared" si="4"/>
        <v>0</v>
      </c>
      <c r="W14" s="204">
        <f t="shared" si="4"/>
        <v>0</v>
      </c>
      <c r="X14" s="198">
        <f t="shared" si="4"/>
        <v>0</v>
      </c>
      <c r="Y14" s="204">
        <f t="shared" si="4"/>
        <v>0</v>
      </c>
      <c r="Z14" s="198">
        <f t="shared" si="4"/>
        <v>0</v>
      </c>
      <c r="AA14" s="204">
        <f t="shared" si="4"/>
        <v>0</v>
      </c>
      <c r="AB14" s="198">
        <f t="shared" si="4"/>
        <v>0</v>
      </c>
      <c r="AC14" s="39"/>
    </row>
    <row r="15" spans="1:50" x14ac:dyDescent="0.35">
      <c r="B15" s="39"/>
      <c r="C15" s="39"/>
      <c r="D15" s="39" t="s">
        <v>337</v>
      </c>
      <c r="E15" s="39"/>
      <c r="F15" s="39"/>
      <c r="G15" s="87"/>
      <c r="H15" s="35"/>
      <c r="I15" s="192">
        <f>G15*H15/1000</f>
        <v>0</v>
      </c>
      <c r="J15" s="190"/>
      <c r="K15" s="192">
        <f>I15*J15</f>
        <v>0</v>
      </c>
      <c r="L15" s="209"/>
      <c r="M15" s="39"/>
      <c r="N15" s="201">
        <f t="shared" si="1"/>
        <v>0</v>
      </c>
      <c r="O15" s="35"/>
      <c r="P15" s="35"/>
      <c r="Q15" s="35"/>
      <c r="R15" s="35"/>
      <c r="S15" s="203">
        <f t="shared" si="2"/>
        <v>0</v>
      </c>
      <c r="T15" s="35"/>
      <c r="U15" s="35"/>
      <c r="V15" s="10"/>
      <c r="W15" s="35"/>
      <c r="X15" s="35"/>
      <c r="Y15" s="35"/>
      <c r="Z15" s="35"/>
      <c r="AA15" s="35"/>
      <c r="AB15" s="35"/>
      <c r="AC15" s="39"/>
    </row>
    <row r="16" spans="1:50" x14ac:dyDescent="0.35">
      <c r="B16" s="39"/>
      <c r="C16" s="39"/>
      <c r="D16" s="39" t="s">
        <v>338</v>
      </c>
      <c r="E16" s="39"/>
      <c r="F16" s="39"/>
      <c r="G16" s="35"/>
      <c r="H16" s="35"/>
      <c r="I16" s="192">
        <f>G16*H16/1000</f>
        <v>0</v>
      </c>
      <c r="J16" s="190"/>
      <c r="K16" s="192">
        <f>I16*J16</f>
        <v>0</v>
      </c>
      <c r="L16" s="209"/>
      <c r="M16" s="39"/>
      <c r="N16" s="201">
        <f t="shared" si="1"/>
        <v>0</v>
      </c>
      <c r="O16" s="35"/>
      <c r="P16" s="35"/>
      <c r="Q16" s="35"/>
      <c r="R16" s="35"/>
      <c r="S16" s="203">
        <f t="shared" si="2"/>
        <v>0</v>
      </c>
      <c r="T16" s="35"/>
      <c r="U16" s="35"/>
      <c r="V16" s="10"/>
      <c r="W16" s="35"/>
      <c r="X16" s="35"/>
      <c r="Y16" s="35"/>
      <c r="Z16" s="35"/>
      <c r="AA16" s="35"/>
      <c r="AB16" s="35"/>
      <c r="AC16" s="39"/>
    </row>
    <row r="17" spans="2:29" x14ac:dyDescent="0.35">
      <c r="B17" s="39"/>
      <c r="C17" s="39"/>
      <c r="D17" s="39" t="s">
        <v>339</v>
      </c>
      <c r="E17" s="39"/>
      <c r="F17" s="39"/>
      <c r="G17" s="35"/>
      <c r="H17" s="35">
        <v>340</v>
      </c>
      <c r="I17" s="192">
        <f>G17*H17/1000</f>
        <v>0</v>
      </c>
      <c r="J17" s="190">
        <v>10.7</v>
      </c>
      <c r="K17" s="192">
        <f>I17*J17</f>
        <v>0</v>
      </c>
      <c r="L17" s="209"/>
      <c r="M17" s="39"/>
      <c r="N17" s="201">
        <f t="shared" si="1"/>
        <v>340</v>
      </c>
      <c r="O17" s="35"/>
      <c r="P17" s="35"/>
      <c r="Q17" s="35"/>
      <c r="R17" s="35"/>
      <c r="S17" s="203">
        <f t="shared" si="2"/>
        <v>10.7</v>
      </c>
      <c r="T17" s="35"/>
      <c r="U17" s="35"/>
      <c r="V17" s="10"/>
      <c r="W17" s="35"/>
      <c r="X17" s="35"/>
      <c r="Y17" s="35"/>
      <c r="Z17" s="35"/>
      <c r="AA17" s="35"/>
      <c r="AB17" s="35"/>
      <c r="AC17" s="39"/>
    </row>
    <row r="18" spans="2:29" ht="3.75" customHeight="1" thickBot="1" x14ac:dyDescent="0.4">
      <c r="B18" s="39"/>
      <c r="C18" s="39"/>
      <c r="D18" s="39"/>
      <c r="E18" s="39"/>
      <c r="F18" s="39"/>
      <c r="L18" s="39"/>
      <c r="M18" s="39"/>
      <c r="N18" s="188"/>
      <c r="S18" s="189"/>
      <c r="V18" s="197"/>
      <c r="AC18" s="39"/>
    </row>
    <row r="19" spans="2:29" ht="15" thickBot="1" x14ac:dyDescent="0.4">
      <c r="B19" s="39"/>
      <c r="C19" s="44" t="s">
        <v>341</v>
      </c>
      <c r="E19" s="190"/>
      <c r="F19" s="39"/>
      <c r="G19" s="191">
        <f>SUM(G20:G22)</f>
        <v>0</v>
      </c>
      <c r="H19" s="201">
        <f>IF(G19=0,0,I19/G19*1000)</f>
        <v>0</v>
      </c>
      <c r="I19" s="191">
        <f>SUM(I20:I22)</f>
        <v>0</v>
      </c>
      <c r="J19" s="203">
        <f>IF(I19=0,0,K19/I19)</f>
        <v>0</v>
      </c>
      <c r="K19" s="191">
        <f>SUM(K20:K22)</f>
        <v>0</v>
      </c>
      <c r="L19" s="209"/>
      <c r="M19" s="39"/>
      <c r="N19" s="205">
        <f t="shared" si="1"/>
        <v>0</v>
      </c>
      <c r="O19" s="198">
        <f>IF($I19=0,0,(O20*$I20+O21*$I21+O22*$I22)/$I19)</f>
        <v>0</v>
      </c>
      <c r="P19" s="204">
        <f>IF($I19=0,0,(P20*$I20+P21*$I21+P22*$I22)/$I19)</f>
        <v>0</v>
      </c>
      <c r="Q19" s="198">
        <f>IF($I19=0,0,(Q20*$I20+Q21*$I21+Q22*$I22)/$I19)</f>
        <v>0</v>
      </c>
      <c r="R19" s="204">
        <f>IF($I19=0,0,(R20*$I20+R21*$I21+R22*$I22)/$I19)</f>
        <v>0</v>
      </c>
      <c r="S19" s="206">
        <f t="shared" si="2"/>
        <v>0</v>
      </c>
      <c r="T19" s="198">
        <f t="shared" ref="T19:AB19" si="5">IF($I19=0,0,(T20*$I20+T21*$I21+T22*$I22)/$I19)</f>
        <v>0</v>
      </c>
      <c r="U19" s="204">
        <f t="shared" si="5"/>
        <v>0</v>
      </c>
      <c r="V19" s="189">
        <f t="shared" si="5"/>
        <v>0</v>
      </c>
      <c r="W19" s="204">
        <f t="shared" si="5"/>
        <v>0</v>
      </c>
      <c r="X19" s="198">
        <f t="shared" si="5"/>
        <v>0</v>
      </c>
      <c r="Y19" s="204">
        <f t="shared" si="5"/>
        <v>0</v>
      </c>
      <c r="Z19" s="198">
        <f t="shared" si="5"/>
        <v>0</v>
      </c>
      <c r="AA19" s="204">
        <f t="shared" si="5"/>
        <v>0</v>
      </c>
      <c r="AB19" s="198">
        <f t="shared" si="5"/>
        <v>0</v>
      </c>
      <c r="AC19" s="39"/>
    </row>
    <row r="20" spans="2:29" x14ac:dyDescent="0.35">
      <c r="B20" s="39"/>
      <c r="C20" s="39"/>
      <c r="D20" s="39" t="s">
        <v>337</v>
      </c>
      <c r="E20" s="39"/>
      <c r="F20" s="39"/>
      <c r="G20" s="87"/>
      <c r="H20" s="35"/>
      <c r="I20" s="192">
        <f>G20*H20/1000</f>
        <v>0</v>
      </c>
      <c r="J20" s="190"/>
      <c r="K20" s="192">
        <f>I20*J20</f>
        <v>0</v>
      </c>
      <c r="L20" s="209"/>
      <c r="M20" s="39"/>
      <c r="N20" s="201">
        <f t="shared" si="1"/>
        <v>0</v>
      </c>
      <c r="O20" s="35"/>
      <c r="P20" s="35"/>
      <c r="Q20" s="35"/>
      <c r="R20" s="35"/>
      <c r="S20" s="203">
        <f t="shared" si="2"/>
        <v>0</v>
      </c>
      <c r="T20" s="35"/>
      <c r="U20" s="35"/>
      <c r="V20" s="10"/>
      <c r="W20" s="35"/>
      <c r="X20" s="35"/>
      <c r="Y20" s="35"/>
      <c r="Z20" s="35"/>
      <c r="AA20" s="35"/>
      <c r="AB20" s="35"/>
      <c r="AC20" s="39"/>
    </row>
    <row r="21" spans="2:29" x14ac:dyDescent="0.35">
      <c r="B21" s="39"/>
      <c r="C21" s="39"/>
      <c r="D21" s="39" t="s">
        <v>338</v>
      </c>
      <c r="E21" s="39"/>
      <c r="F21" s="39"/>
      <c r="G21" s="35"/>
      <c r="H21" s="35"/>
      <c r="I21" s="192">
        <f>G21*H21/1000</f>
        <v>0</v>
      </c>
      <c r="J21" s="190"/>
      <c r="K21" s="192">
        <f>I21*J21</f>
        <v>0</v>
      </c>
      <c r="L21" s="209"/>
      <c r="M21" s="39"/>
      <c r="N21" s="201">
        <f t="shared" si="1"/>
        <v>0</v>
      </c>
      <c r="O21" s="35"/>
      <c r="P21" s="35"/>
      <c r="Q21" s="35"/>
      <c r="R21" s="35"/>
      <c r="S21" s="203">
        <f t="shared" si="2"/>
        <v>0</v>
      </c>
      <c r="T21" s="35"/>
      <c r="U21" s="35"/>
      <c r="V21" s="10"/>
      <c r="W21" s="35"/>
      <c r="X21" s="35"/>
      <c r="Y21" s="35"/>
      <c r="Z21" s="35"/>
      <c r="AA21" s="35"/>
      <c r="AB21" s="35"/>
      <c r="AC21" s="39"/>
    </row>
    <row r="22" spans="2:29" x14ac:dyDescent="0.35">
      <c r="B22" s="39"/>
      <c r="C22" s="39"/>
      <c r="D22" s="39" t="s">
        <v>339</v>
      </c>
      <c r="E22" s="39"/>
      <c r="F22" s="39"/>
      <c r="G22" s="35"/>
      <c r="H22" s="35">
        <v>340</v>
      </c>
      <c r="I22" s="192">
        <f>G22*H22/1000</f>
        <v>0</v>
      </c>
      <c r="J22" s="190">
        <v>10.7</v>
      </c>
      <c r="K22" s="192">
        <f>I22*J22</f>
        <v>0</v>
      </c>
      <c r="L22" s="209"/>
      <c r="M22" s="39"/>
      <c r="N22" s="201">
        <f t="shared" si="1"/>
        <v>340</v>
      </c>
      <c r="O22" s="35"/>
      <c r="P22" s="35"/>
      <c r="Q22" s="35"/>
      <c r="R22" s="35"/>
      <c r="S22" s="203">
        <f t="shared" si="2"/>
        <v>10.7</v>
      </c>
      <c r="T22" s="35"/>
      <c r="U22" s="35"/>
      <c r="V22" s="10"/>
      <c r="W22" s="35"/>
      <c r="X22" s="35"/>
      <c r="Y22" s="35"/>
      <c r="Z22" s="35"/>
      <c r="AA22" s="35"/>
      <c r="AB22" s="35"/>
      <c r="AC22" s="39"/>
    </row>
    <row r="23" spans="2:29" ht="3.75" customHeight="1" thickBot="1" x14ac:dyDescent="0.4">
      <c r="B23" s="39"/>
      <c r="C23" s="39"/>
      <c r="D23" s="39"/>
      <c r="E23" s="39"/>
      <c r="F23" s="39"/>
      <c r="L23" s="39"/>
      <c r="M23" s="39"/>
      <c r="N23" s="188"/>
      <c r="S23" s="189"/>
      <c r="V23" s="197"/>
      <c r="AC23" s="39"/>
    </row>
    <row r="24" spans="2:29" ht="15" thickBot="1" x14ac:dyDescent="0.4">
      <c r="B24" s="39"/>
      <c r="C24" s="44" t="s">
        <v>340</v>
      </c>
      <c r="E24" s="190"/>
      <c r="F24" s="39"/>
      <c r="G24" s="191">
        <f>SUM(G25:G27)</f>
        <v>0</v>
      </c>
      <c r="H24" s="201">
        <f>IF(G24=0,0,I24/G24*1000)</f>
        <v>0</v>
      </c>
      <c r="I24" s="191">
        <f>SUM(I25:I27)</f>
        <v>0</v>
      </c>
      <c r="J24" s="203">
        <f>IF(I24=0,0,K24/I24)</f>
        <v>0</v>
      </c>
      <c r="K24" s="191">
        <f>SUM(K25:K27)</f>
        <v>0</v>
      </c>
      <c r="L24" s="209"/>
      <c r="M24" s="39"/>
      <c r="N24" s="205">
        <f t="shared" si="1"/>
        <v>0</v>
      </c>
      <c r="O24" s="198">
        <f>IF($I24=0,0,(O25*$I25+O26*$I26+O27*$I27)/$I24)</f>
        <v>0</v>
      </c>
      <c r="P24" s="204">
        <f>IF($I24=0,0,(P25*$I25+P26*$I26+P27*$I27)/$I24)</f>
        <v>0</v>
      </c>
      <c r="Q24" s="198">
        <f>IF($I24=0,0,(Q25*$I25+Q26*$I26+Q27*$I27)/$I24)</f>
        <v>0</v>
      </c>
      <c r="R24" s="204">
        <f>IF($I24=0,0,(R25*$I25+R26*$I26+R27*$I27)/$I24)</f>
        <v>0</v>
      </c>
      <c r="S24" s="206">
        <f t="shared" si="2"/>
        <v>0</v>
      </c>
      <c r="T24" s="198">
        <f t="shared" ref="T24:AB24" si="6">IF($I24=0,0,(T25*$I25+T26*$I26+T27*$I27)/$I24)</f>
        <v>0</v>
      </c>
      <c r="U24" s="204">
        <f t="shared" si="6"/>
        <v>0</v>
      </c>
      <c r="V24" s="189">
        <f t="shared" si="6"/>
        <v>0</v>
      </c>
      <c r="W24" s="204">
        <f t="shared" si="6"/>
        <v>0</v>
      </c>
      <c r="X24" s="198">
        <f t="shared" si="6"/>
        <v>0</v>
      </c>
      <c r="Y24" s="204">
        <f t="shared" si="6"/>
        <v>0</v>
      </c>
      <c r="Z24" s="198">
        <f t="shared" si="6"/>
        <v>0</v>
      </c>
      <c r="AA24" s="204">
        <f t="shared" si="6"/>
        <v>0</v>
      </c>
      <c r="AB24" s="198">
        <f t="shared" si="6"/>
        <v>0</v>
      </c>
      <c r="AC24" s="39"/>
    </row>
    <row r="25" spans="2:29" x14ac:dyDescent="0.35">
      <c r="B25" s="39"/>
      <c r="C25" s="39"/>
      <c r="D25" s="39" t="s">
        <v>337</v>
      </c>
      <c r="E25" s="39"/>
      <c r="F25" s="39"/>
      <c r="G25" s="87"/>
      <c r="H25" s="35">
        <v>320</v>
      </c>
      <c r="I25" s="192">
        <f>G25*H25/1000</f>
        <v>0</v>
      </c>
      <c r="J25" s="190">
        <v>10.7</v>
      </c>
      <c r="K25" s="192">
        <f>I25*J25</f>
        <v>0</v>
      </c>
      <c r="L25" s="209"/>
      <c r="M25" s="39"/>
      <c r="N25" s="201">
        <f t="shared" si="1"/>
        <v>320</v>
      </c>
      <c r="O25" s="35"/>
      <c r="P25" s="35"/>
      <c r="Q25" s="35"/>
      <c r="R25" s="35"/>
      <c r="S25" s="203">
        <f t="shared" si="2"/>
        <v>10.7</v>
      </c>
      <c r="T25" s="35"/>
      <c r="U25" s="35"/>
      <c r="V25" s="10"/>
      <c r="W25" s="35"/>
      <c r="X25" s="35"/>
      <c r="Y25" s="35"/>
      <c r="Z25" s="35"/>
      <c r="AA25" s="35"/>
      <c r="AB25" s="35"/>
      <c r="AC25" s="39"/>
    </row>
    <row r="26" spans="2:29" x14ac:dyDescent="0.35">
      <c r="B26" s="39"/>
      <c r="C26" s="39"/>
      <c r="D26" s="39" t="s">
        <v>338</v>
      </c>
      <c r="E26" s="39"/>
      <c r="F26" s="39"/>
      <c r="G26" s="35"/>
      <c r="H26" s="35">
        <v>330</v>
      </c>
      <c r="I26" s="192">
        <f>G26*H26/1000</f>
        <v>0</v>
      </c>
      <c r="J26" s="190">
        <v>10.7</v>
      </c>
      <c r="K26" s="192">
        <f>I26*J26</f>
        <v>0</v>
      </c>
      <c r="L26" s="209"/>
      <c r="M26" s="39"/>
      <c r="N26" s="201">
        <f t="shared" si="1"/>
        <v>330</v>
      </c>
      <c r="O26" s="35"/>
      <c r="P26" s="35"/>
      <c r="Q26" s="35"/>
      <c r="R26" s="35"/>
      <c r="S26" s="203">
        <f t="shared" si="2"/>
        <v>10.7</v>
      </c>
      <c r="T26" s="35"/>
      <c r="U26" s="35"/>
      <c r="V26" s="10"/>
      <c r="W26" s="35"/>
      <c r="X26" s="35"/>
      <c r="Y26" s="35"/>
      <c r="Z26" s="35"/>
      <c r="AA26" s="35"/>
      <c r="AB26" s="35"/>
      <c r="AC26" s="39"/>
    </row>
    <row r="27" spans="2:29" x14ac:dyDescent="0.35">
      <c r="B27" s="39"/>
      <c r="C27" s="39"/>
      <c r="D27" s="39" t="s">
        <v>339</v>
      </c>
      <c r="E27" s="39"/>
      <c r="F27" s="39"/>
      <c r="G27" s="35"/>
      <c r="H27" s="35"/>
      <c r="I27" s="192">
        <f>G27*H27/1000</f>
        <v>0</v>
      </c>
      <c r="J27" s="190"/>
      <c r="K27" s="192">
        <f>I27*J27</f>
        <v>0</v>
      </c>
      <c r="L27" s="209"/>
      <c r="M27" s="39"/>
      <c r="N27" s="201">
        <f t="shared" si="1"/>
        <v>0</v>
      </c>
      <c r="O27" s="35"/>
      <c r="P27" s="35"/>
      <c r="Q27" s="35"/>
      <c r="R27" s="35"/>
      <c r="S27" s="203">
        <f t="shared" si="2"/>
        <v>0</v>
      </c>
      <c r="T27" s="35"/>
      <c r="U27" s="35"/>
      <c r="V27" s="10"/>
      <c r="W27" s="35"/>
      <c r="X27" s="35"/>
      <c r="Y27" s="35"/>
      <c r="Z27" s="35"/>
      <c r="AA27" s="35"/>
      <c r="AB27" s="35"/>
      <c r="AC27" s="39"/>
    </row>
    <row r="28" spans="2:29" ht="15" thickBot="1" x14ac:dyDescent="0.4">
      <c r="B28" s="39"/>
      <c r="C28" s="39"/>
      <c r="D28" s="39"/>
      <c r="E28" s="55" t="s">
        <v>354</v>
      </c>
      <c r="F28" s="39"/>
      <c r="G28" s="180" t="s">
        <v>350</v>
      </c>
      <c r="H28" s="202" t="s">
        <v>351</v>
      </c>
      <c r="I28" s="180" t="s">
        <v>352</v>
      </c>
      <c r="J28" s="200" t="s">
        <v>60</v>
      </c>
      <c r="K28" s="180" t="s">
        <v>353</v>
      </c>
      <c r="L28" s="39"/>
      <c r="M28" s="39"/>
      <c r="N28" s="39"/>
      <c r="O28" s="39"/>
      <c r="P28" s="39"/>
      <c r="Q28" s="39"/>
      <c r="R28" s="39"/>
      <c r="S28" s="39"/>
      <c r="T28" s="39"/>
      <c r="U28" s="39"/>
      <c r="V28" s="39"/>
      <c r="W28" s="39"/>
      <c r="X28" s="39"/>
      <c r="Y28" s="39"/>
      <c r="Z28" s="39"/>
      <c r="AA28" s="39"/>
      <c r="AB28" s="39"/>
      <c r="AC28" s="39"/>
    </row>
    <row r="29" spans="2:29" ht="15" thickBot="1" x14ac:dyDescent="0.4">
      <c r="B29" s="77" t="s">
        <v>10</v>
      </c>
      <c r="E29" s="186">
        <f>SUM(E30:E34)</f>
        <v>0</v>
      </c>
      <c r="G29" s="191">
        <f>IF(E29=0,0,($E30*G30+$E31*G31+$E32*G32+$E33*G33+$E34*G34)/E29)</f>
        <v>0</v>
      </c>
      <c r="H29" s="201">
        <f>IF(G29=0,0,I29/G29*1000)</f>
        <v>0</v>
      </c>
      <c r="I29" s="191">
        <f>IF(E29=0,0,($E30*I30+$E31*I31+$E32*I32+$E33*I33+$E34*I34)/E29)</f>
        <v>0</v>
      </c>
      <c r="J29" s="203">
        <f>IF(I29=0,0,K29/I29)</f>
        <v>0</v>
      </c>
      <c r="K29" s="191">
        <f>IF(E29=0,0,($E30*K30+$E31*K31+$E32*K32+$E33*K33+$E34*K34)/E29)</f>
        <v>0</v>
      </c>
      <c r="L29" s="209"/>
      <c r="M29" s="39"/>
      <c r="N29" s="39"/>
      <c r="O29" s="39"/>
      <c r="P29" s="39"/>
      <c r="Q29" s="39"/>
      <c r="R29" s="39"/>
      <c r="S29" s="39"/>
      <c r="T29" s="39"/>
      <c r="U29" s="39"/>
      <c r="V29" s="39"/>
      <c r="W29" s="39"/>
      <c r="X29" s="39"/>
      <c r="Y29" s="39"/>
      <c r="Z29" s="39"/>
      <c r="AA29" s="39"/>
      <c r="AB29" s="39"/>
      <c r="AC29" s="39"/>
    </row>
    <row r="30" spans="2:29" x14ac:dyDescent="0.35">
      <c r="B30" s="39"/>
      <c r="C30" s="207" t="s">
        <v>342</v>
      </c>
      <c r="D30" s="208"/>
      <c r="E30" s="215">
        <f>'Rehun käyttö, nettosato'!E18-E31-E32-E33-E34</f>
        <v>0</v>
      </c>
      <c r="G30" s="35">
        <v>4100</v>
      </c>
      <c r="H30" s="35">
        <v>860</v>
      </c>
      <c r="I30" s="192">
        <f>G30*H30/1000</f>
        <v>3526</v>
      </c>
      <c r="J30" s="190">
        <v>11.5</v>
      </c>
      <c r="K30" s="192">
        <f>I30*J30</f>
        <v>40549</v>
      </c>
      <c r="L30" s="209"/>
      <c r="M30" s="39"/>
      <c r="N30" s="39"/>
      <c r="O30" s="39"/>
      <c r="P30" s="39"/>
      <c r="Q30" s="39"/>
      <c r="R30" s="39"/>
      <c r="S30" s="39"/>
      <c r="T30" s="39"/>
      <c r="U30" s="39"/>
      <c r="V30" s="39"/>
      <c r="W30" s="39"/>
      <c r="X30" s="39"/>
      <c r="Y30" s="39"/>
      <c r="Z30" s="39"/>
      <c r="AA30" s="39"/>
      <c r="AB30" s="39"/>
      <c r="AC30" s="39"/>
    </row>
    <row r="31" spans="2:29" x14ac:dyDescent="0.35">
      <c r="B31" s="39"/>
      <c r="C31" s="207" t="s">
        <v>343</v>
      </c>
      <c r="D31" s="208"/>
      <c r="E31" s="190"/>
      <c r="G31" s="35">
        <v>3500</v>
      </c>
      <c r="H31" s="35">
        <v>860</v>
      </c>
      <c r="I31" s="192">
        <f>G31*H31/1000</f>
        <v>3010</v>
      </c>
      <c r="J31" s="190">
        <v>10.7</v>
      </c>
      <c r="K31" s="192">
        <f>I31*J31</f>
        <v>32206.999999999996</v>
      </c>
      <c r="L31" s="209"/>
      <c r="M31" s="39"/>
      <c r="N31" s="39"/>
      <c r="O31" s="39"/>
      <c r="P31" s="39"/>
      <c r="Q31" s="39"/>
      <c r="R31" s="39"/>
      <c r="S31" s="39"/>
      <c r="T31" s="39"/>
      <c r="U31" s="39"/>
      <c r="V31" s="39"/>
      <c r="W31" s="39"/>
      <c r="X31" s="39"/>
      <c r="Y31" s="39"/>
      <c r="Z31" s="39"/>
      <c r="AA31" s="39"/>
      <c r="AB31" s="39"/>
      <c r="AC31" s="39"/>
    </row>
    <row r="32" spans="2:29" x14ac:dyDescent="0.35">
      <c r="B32" s="39"/>
      <c r="C32" s="207" t="s">
        <v>344</v>
      </c>
      <c r="D32" s="208"/>
      <c r="E32" s="190"/>
      <c r="G32" s="35"/>
      <c r="H32" s="35">
        <v>860</v>
      </c>
      <c r="I32" s="192">
        <f>G32*H32/1000</f>
        <v>0</v>
      </c>
      <c r="J32" s="190">
        <v>12</v>
      </c>
      <c r="K32" s="192">
        <f>I32*J32</f>
        <v>0</v>
      </c>
      <c r="L32" s="209"/>
      <c r="M32" s="39"/>
      <c r="N32" s="39"/>
      <c r="O32" s="39"/>
      <c r="P32" s="39"/>
      <c r="Q32" s="39"/>
      <c r="R32" s="39"/>
      <c r="S32" s="39"/>
      <c r="T32" s="39"/>
      <c r="U32" s="39"/>
      <c r="V32" s="39"/>
      <c r="W32" s="39"/>
      <c r="X32" s="39"/>
      <c r="Y32" s="39"/>
      <c r="Z32" s="39"/>
      <c r="AA32" s="39"/>
      <c r="AB32" s="39"/>
      <c r="AC32" s="39"/>
    </row>
    <row r="33" spans="2:29" x14ac:dyDescent="0.35">
      <c r="B33" s="39"/>
      <c r="C33" s="207" t="s">
        <v>347</v>
      </c>
      <c r="D33" s="208"/>
      <c r="E33" s="190"/>
      <c r="G33" s="35"/>
      <c r="H33" s="35">
        <v>860</v>
      </c>
      <c r="I33" s="192">
        <f>G33*H33/1000</f>
        <v>0</v>
      </c>
      <c r="J33" s="190">
        <v>10.7</v>
      </c>
      <c r="K33" s="192">
        <f>I33*J33</f>
        <v>0</v>
      </c>
      <c r="L33" s="209"/>
      <c r="M33" s="39"/>
      <c r="N33" s="39"/>
      <c r="O33" s="39"/>
      <c r="P33" s="39"/>
      <c r="Q33" s="39"/>
      <c r="R33" s="39"/>
      <c r="S33" s="39"/>
      <c r="T33" s="39"/>
      <c r="U33" s="39"/>
      <c r="V33" s="39"/>
      <c r="W33" s="39"/>
      <c r="X33" s="39"/>
      <c r="Y33" s="39"/>
      <c r="Z33" s="39"/>
      <c r="AA33" s="39"/>
      <c r="AB33" s="39"/>
      <c r="AC33" s="39"/>
    </row>
    <row r="34" spans="2:29" x14ac:dyDescent="0.35">
      <c r="B34" s="39"/>
      <c r="C34" s="44" t="s">
        <v>340</v>
      </c>
      <c r="E34" s="190"/>
      <c r="G34" s="35"/>
      <c r="H34" s="35">
        <v>860</v>
      </c>
      <c r="I34" s="192">
        <f>G34*H34/1000</f>
        <v>0</v>
      </c>
      <c r="J34" s="190">
        <v>10.7</v>
      </c>
      <c r="K34" s="192">
        <f>I34*J34</f>
        <v>0</v>
      </c>
      <c r="L34" s="209"/>
      <c r="M34" s="39"/>
      <c r="N34" s="39"/>
      <c r="O34" s="39"/>
      <c r="P34" s="39"/>
      <c r="Q34" s="39"/>
      <c r="R34" s="39"/>
      <c r="S34" s="39"/>
      <c r="T34" s="39"/>
      <c r="U34" s="39"/>
      <c r="V34" s="39"/>
      <c r="W34" s="39"/>
      <c r="X34" s="39"/>
      <c r="Y34" s="39"/>
      <c r="Z34" s="39"/>
      <c r="AA34" s="39"/>
      <c r="AB34" s="39"/>
      <c r="AC34" s="39"/>
    </row>
    <row r="35" spans="2:29" ht="15" thickBot="1" x14ac:dyDescent="0.4">
      <c r="B35" s="39"/>
      <c r="C35" s="39"/>
      <c r="D35" s="39"/>
      <c r="E35" s="55" t="s">
        <v>354</v>
      </c>
      <c r="F35" s="39"/>
      <c r="G35" s="180" t="s">
        <v>350</v>
      </c>
      <c r="H35" s="202" t="s">
        <v>351</v>
      </c>
      <c r="I35" s="180" t="s">
        <v>352</v>
      </c>
      <c r="J35" s="200" t="s">
        <v>60</v>
      </c>
      <c r="K35" s="180" t="s">
        <v>353</v>
      </c>
      <c r="L35" s="39"/>
      <c r="M35" s="39"/>
      <c r="N35" s="39"/>
      <c r="O35" s="39"/>
      <c r="P35" s="39"/>
      <c r="Q35" s="39"/>
      <c r="R35" s="39"/>
      <c r="S35" s="39"/>
      <c r="T35" s="39"/>
      <c r="U35" s="39"/>
      <c r="V35" s="39"/>
      <c r="W35" s="39"/>
      <c r="X35" s="39"/>
      <c r="Y35" s="39"/>
      <c r="Z35" s="39"/>
      <c r="AA35" s="39"/>
      <c r="AB35" s="39"/>
      <c r="AC35" s="39"/>
    </row>
    <row r="36" spans="2:29" ht="15" thickBot="1" x14ac:dyDescent="0.4">
      <c r="B36" s="77" t="s">
        <v>48</v>
      </c>
      <c r="E36" s="186">
        <f>SUM(E37:E41)</f>
        <v>0</v>
      </c>
      <c r="G36" s="191">
        <f>IF(E36=0,0,($E37*G37+$E38*G38+$E39*G39+$E40*G40+$E41*G41)/E36)</f>
        <v>0</v>
      </c>
      <c r="H36" s="201">
        <f>IF(G36=0,0,I36/G36*1000)</f>
        <v>0</v>
      </c>
      <c r="I36" s="191">
        <f>IF(E36=0,0,($E37*I37+$E38*I38+$E39*I39+$E40*I40+$E41*I41)/E36)</f>
        <v>0</v>
      </c>
      <c r="J36" s="203">
        <f>IF(I36=0,0,K36/I36)</f>
        <v>0</v>
      </c>
      <c r="K36" s="191">
        <f>IF(E36=0,0,($E37*K37+$E38*K38+$E39*K39+$E40*K40+$E41*K41)/E36)</f>
        <v>0</v>
      </c>
      <c r="L36" s="209"/>
      <c r="M36" s="39"/>
      <c r="N36" s="39"/>
      <c r="O36" s="39"/>
      <c r="P36" s="39"/>
      <c r="Q36" s="39"/>
      <c r="R36" s="39"/>
      <c r="S36" s="39"/>
      <c r="T36" s="39"/>
      <c r="U36" s="39"/>
      <c r="V36" s="39"/>
      <c r="W36" s="39"/>
      <c r="X36" s="39"/>
      <c r="Y36" s="39"/>
      <c r="Z36" s="39"/>
      <c r="AA36" s="39"/>
      <c r="AB36" s="39"/>
      <c r="AC36" s="39"/>
    </row>
    <row r="37" spans="2:29" x14ac:dyDescent="0.35">
      <c r="B37" s="39"/>
      <c r="C37" s="845" t="s">
        <v>345</v>
      </c>
      <c r="D37" s="846"/>
      <c r="E37" s="215">
        <f>'Rehun käyttö, nettosato'!E19-E38-E39-E40-E41</f>
        <v>0</v>
      </c>
      <c r="G37" s="35">
        <v>15000</v>
      </c>
      <c r="H37" s="35">
        <v>350</v>
      </c>
      <c r="I37" s="192">
        <f>G37*H37/1000</f>
        <v>5250</v>
      </c>
      <c r="J37" s="190">
        <v>9.9</v>
      </c>
      <c r="K37" s="192">
        <f>I37*J37</f>
        <v>51975</v>
      </c>
      <c r="L37" s="209"/>
      <c r="M37" s="39"/>
      <c r="N37" s="39"/>
      <c r="O37" s="39"/>
      <c r="P37" s="39"/>
      <c r="Q37" s="39"/>
      <c r="R37" s="39"/>
      <c r="S37" s="39"/>
      <c r="T37" s="39"/>
      <c r="U37" s="39"/>
      <c r="V37" s="39"/>
      <c r="W37" s="39"/>
      <c r="X37" s="39"/>
      <c r="Y37" s="39"/>
      <c r="Z37" s="39"/>
      <c r="AA37" s="39"/>
      <c r="AB37" s="39"/>
      <c r="AC37" s="39"/>
    </row>
    <row r="38" spans="2:29" x14ac:dyDescent="0.35">
      <c r="B38" s="39"/>
      <c r="C38" s="845" t="s">
        <v>346</v>
      </c>
      <c r="D38" s="846"/>
      <c r="E38" s="190"/>
      <c r="G38" s="35"/>
      <c r="H38" s="35">
        <v>450</v>
      </c>
      <c r="I38" s="192">
        <f>G38*H38/1000</f>
        <v>0</v>
      </c>
      <c r="J38" s="190">
        <v>10</v>
      </c>
      <c r="K38" s="192">
        <f>I38*J38</f>
        <v>0</v>
      </c>
      <c r="L38" s="209"/>
      <c r="M38" s="39"/>
      <c r="N38" s="39"/>
      <c r="O38" s="39"/>
      <c r="P38" s="39"/>
      <c r="Q38" s="39"/>
      <c r="R38" s="39"/>
      <c r="S38" s="39"/>
      <c r="T38" s="39"/>
      <c r="U38" s="39"/>
      <c r="V38" s="39"/>
      <c r="W38" s="39"/>
      <c r="X38" s="39"/>
      <c r="Y38" s="39"/>
      <c r="Z38" s="39"/>
      <c r="AA38" s="39"/>
      <c r="AB38" s="39"/>
      <c r="AC38" s="39"/>
    </row>
    <row r="39" spans="2:29" x14ac:dyDescent="0.35">
      <c r="B39" s="39"/>
      <c r="C39" s="845" t="s">
        <v>341</v>
      </c>
      <c r="D39" s="846"/>
      <c r="E39" s="190"/>
      <c r="G39" s="35"/>
      <c r="H39" s="35">
        <v>450</v>
      </c>
      <c r="I39" s="192">
        <f>G39*H39/1000</f>
        <v>0</v>
      </c>
      <c r="J39" s="190">
        <v>10</v>
      </c>
      <c r="K39" s="192">
        <f>I39*J39</f>
        <v>0</v>
      </c>
      <c r="L39" s="209"/>
      <c r="M39" s="39"/>
      <c r="N39" s="39"/>
      <c r="O39" s="39"/>
      <c r="P39" s="39"/>
      <c r="Q39" s="39"/>
      <c r="R39" s="39"/>
      <c r="S39" s="39"/>
      <c r="T39" s="39"/>
      <c r="U39" s="39"/>
      <c r="V39" s="39"/>
      <c r="W39" s="39"/>
      <c r="X39" s="39"/>
      <c r="Y39" s="39"/>
      <c r="Z39" s="39"/>
      <c r="AA39" s="39"/>
      <c r="AB39" s="39"/>
      <c r="AC39" s="39"/>
    </row>
    <row r="40" spans="2:29" x14ac:dyDescent="0.35">
      <c r="B40" s="39"/>
      <c r="C40" s="845" t="s">
        <v>355</v>
      </c>
      <c r="D40" s="846"/>
      <c r="E40" s="190"/>
      <c r="G40" s="35"/>
      <c r="H40" s="35">
        <v>450</v>
      </c>
      <c r="I40" s="192">
        <f>G40*H40/1000</f>
        <v>0</v>
      </c>
      <c r="J40" s="190">
        <v>10</v>
      </c>
      <c r="K40" s="192">
        <f>I40*J40</f>
        <v>0</v>
      </c>
      <c r="L40" s="209"/>
      <c r="M40" s="39"/>
      <c r="N40" s="39"/>
      <c r="O40" s="39"/>
      <c r="P40" s="39"/>
      <c r="Q40" s="39"/>
      <c r="R40" s="39"/>
      <c r="S40" s="39"/>
      <c r="T40" s="39"/>
      <c r="U40" s="39"/>
      <c r="V40" s="39"/>
      <c r="W40" s="39"/>
      <c r="X40" s="39"/>
      <c r="Y40" s="39"/>
      <c r="Z40" s="39"/>
      <c r="AA40" s="39"/>
      <c r="AB40" s="39"/>
      <c r="AC40" s="39"/>
    </row>
    <row r="41" spans="2:29" x14ac:dyDescent="0.35">
      <c r="B41" s="39"/>
      <c r="C41" s="44" t="s">
        <v>340</v>
      </c>
      <c r="E41" s="190"/>
      <c r="G41" s="35"/>
      <c r="H41" s="35">
        <v>450</v>
      </c>
      <c r="I41" s="192">
        <f>G41*H41/1000</f>
        <v>0</v>
      </c>
      <c r="J41" s="190">
        <v>10</v>
      </c>
      <c r="K41" s="192">
        <f>I41*J41</f>
        <v>0</v>
      </c>
      <c r="L41" s="209"/>
      <c r="M41" s="39"/>
      <c r="N41" s="39"/>
      <c r="O41" s="39"/>
      <c r="P41" s="39"/>
      <c r="Q41" s="39"/>
      <c r="R41" s="39"/>
      <c r="S41" s="39"/>
      <c r="T41" s="39"/>
      <c r="U41" s="39"/>
      <c r="V41" s="39"/>
      <c r="W41" s="39"/>
      <c r="X41" s="39"/>
      <c r="Y41" s="39"/>
      <c r="Z41" s="39"/>
      <c r="AA41" s="39"/>
      <c r="AB41" s="39"/>
      <c r="AC41" s="39"/>
    </row>
    <row r="42" spans="2:29" ht="15" thickBot="1" x14ac:dyDescent="0.4">
      <c r="B42" s="39"/>
      <c r="C42" s="39"/>
      <c r="D42" s="39"/>
      <c r="E42" s="55" t="s">
        <v>354</v>
      </c>
      <c r="F42" s="39"/>
      <c r="G42" s="180" t="s">
        <v>350</v>
      </c>
      <c r="H42" s="202" t="s">
        <v>351</v>
      </c>
      <c r="I42" s="180" t="s">
        <v>352</v>
      </c>
      <c r="J42" s="200" t="s">
        <v>60</v>
      </c>
      <c r="K42" s="180" t="s">
        <v>353</v>
      </c>
      <c r="L42" s="39"/>
      <c r="M42" s="39"/>
      <c r="N42" s="39"/>
      <c r="O42" s="39"/>
      <c r="P42" s="39"/>
      <c r="Q42" s="39"/>
      <c r="R42" s="39"/>
      <c r="S42" s="39"/>
      <c r="T42" s="39"/>
      <c r="U42" s="39"/>
      <c r="V42" s="39"/>
      <c r="W42" s="39"/>
      <c r="X42" s="39"/>
      <c r="Y42" s="39"/>
      <c r="Z42" s="39"/>
      <c r="AA42" s="39"/>
      <c r="AB42" s="39"/>
      <c r="AC42" s="39"/>
    </row>
    <row r="43" spans="2:29" ht="15" thickBot="1" x14ac:dyDescent="0.4">
      <c r="B43" s="77" t="s">
        <v>46</v>
      </c>
      <c r="E43" s="186">
        <f>SUM(E44:E48)</f>
        <v>5</v>
      </c>
      <c r="G43" s="191">
        <f>IF(E43=0,0,($E44*G44+$E45*G45+$E46*G46+$E47*G47+$E48*G48)/E43)</f>
        <v>10000</v>
      </c>
      <c r="H43" s="201">
        <f>IF(G43=0,0,I43/G43*1000)</f>
        <v>200</v>
      </c>
      <c r="I43" s="191">
        <f>IF(E43=0,0,($E44*I44+$E45*I45+$E46*I46+$E47*I47+$E48*I48)/E43)</f>
        <v>2000</v>
      </c>
      <c r="J43" s="203">
        <f>IF(I43=0,0,K43/I43)</f>
        <v>11</v>
      </c>
      <c r="K43" s="191">
        <f>IF(E43=0,0,($E44*K44+$E45*K45+$E46*K46+$E47*K47+$E48*K48)/E43)</f>
        <v>22000</v>
      </c>
      <c r="L43" s="209"/>
      <c r="M43" s="39"/>
      <c r="N43" s="39"/>
      <c r="O43" s="39"/>
      <c r="P43" s="39"/>
      <c r="Q43" s="39"/>
      <c r="R43" s="39"/>
      <c r="S43" s="39"/>
      <c r="T43" s="39"/>
      <c r="U43" s="39"/>
      <c r="V43" s="39"/>
      <c r="W43" s="39"/>
      <c r="X43" s="39"/>
      <c r="Y43" s="39"/>
      <c r="Z43" s="39"/>
      <c r="AA43" s="39"/>
      <c r="AB43" s="39"/>
      <c r="AC43" s="39"/>
    </row>
    <row r="44" spans="2:29" x14ac:dyDescent="0.35">
      <c r="B44" s="39"/>
      <c r="C44" s="845" t="s">
        <v>380</v>
      </c>
      <c r="D44" s="846"/>
      <c r="E44" s="215">
        <f>'Rehun käyttö, nettosato'!E20-E45-E46-E47-E48</f>
        <v>5</v>
      </c>
      <c r="G44" s="35">
        <v>10000</v>
      </c>
      <c r="H44" s="35">
        <v>200</v>
      </c>
      <c r="I44" s="192">
        <f>G44*H44/1000</f>
        <v>2000</v>
      </c>
      <c r="J44" s="190">
        <v>11</v>
      </c>
      <c r="K44" s="192">
        <f>I44*J44</f>
        <v>22000</v>
      </c>
      <c r="L44" s="209"/>
      <c r="M44" s="39"/>
      <c r="N44" s="39"/>
      <c r="O44" s="39"/>
      <c r="P44" s="39"/>
      <c r="Q44" s="39"/>
      <c r="R44" s="39"/>
      <c r="S44" s="39"/>
      <c r="T44" s="39"/>
      <c r="U44" s="39"/>
      <c r="V44" s="39"/>
      <c r="W44" s="39"/>
      <c r="X44" s="39"/>
      <c r="Y44" s="39"/>
      <c r="Z44" s="39"/>
      <c r="AA44" s="39"/>
      <c r="AB44" s="39"/>
      <c r="AC44" s="39"/>
    </row>
    <row r="45" spans="2:29" x14ac:dyDescent="0.35">
      <c r="B45" s="39"/>
      <c r="C45" s="845" t="s">
        <v>381</v>
      </c>
      <c r="D45" s="846"/>
      <c r="E45" s="190"/>
      <c r="G45" s="35"/>
      <c r="H45" s="35">
        <v>200</v>
      </c>
      <c r="I45" s="192">
        <f>G45*H45/1000</f>
        <v>0</v>
      </c>
      <c r="J45" s="190">
        <v>11</v>
      </c>
      <c r="K45" s="192">
        <f>I45*J45</f>
        <v>0</v>
      </c>
      <c r="L45" s="209"/>
      <c r="M45" s="39"/>
      <c r="N45" s="39"/>
      <c r="O45" s="39"/>
      <c r="P45" s="39"/>
      <c r="Q45" s="39"/>
      <c r="R45" s="39"/>
      <c r="S45" s="39"/>
      <c r="T45" s="39"/>
      <c r="U45" s="39"/>
      <c r="V45" s="39"/>
      <c r="W45" s="39"/>
      <c r="X45" s="39"/>
      <c r="Y45" s="39"/>
      <c r="Z45" s="39"/>
      <c r="AA45" s="39"/>
      <c r="AB45" s="39"/>
      <c r="AC45" s="39"/>
    </row>
    <row r="46" spans="2:29" x14ac:dyDescent="0.35">
      <c r="B46" s="39"/>
      <c r="C46" s="845"/>
      <c r="D46" s="846"/>
      <c r="E46" s="190"/>
      <c r="G46" s="35"/>
      <c r="H46" s="35">
        <v>200</v>
      </c>
      <c r="I46" s="192">
        <f>G46*H46/1000</f>
        <v>0</v>
      </c>
      <c r="J46" s="190">
        <v>11</v>
      </c>
      <c r="K46" s="192">
        <f>I46*J46</f>
        <v>0</v>
      </c>
      <c r="L46" s="209"/>
      <c r="M46" s="39"/>
      <c r="N46" s="39"/>
      <c r="O46" s="39"/>
      <c r="P46" s="39"/>
      <c r="Q46" s="39"/>
      <c r="R46" s="39"/>
      <c r="S46" s="39"/>
      <c r="T46" s="39"/>
      <c r="U46" s="39"/>
      <c r="V46" s="39"/>
      <c r="W46" s="39"/>
      <c r="X46" s="39"/>
      <c r="Y46" s="39"/>
      <c r="Z46" s="39"/>
      <c r="AA46" s="39"/>
      <c r="AB46" s="39"/>
      <c r="AC46" s="39"/>
    </row>
    <row r="47" spans="2:29" x14ac:dyDescent="0.35">
      <c r="B47" s="39"/>
      <c r="C47" s="44" t="s">
        <v>379</v>
      </c>
      <c r="E47" s="190"/>
      <c r="G47" s="35"/>
      <c r="H47" s="35">
        <v>200</v>
      </c>
      <c r="I47" s="192">
        <f>G47*H47/1000</f>
        <v>0</v>
      </c>
      <c r="J47" s="190">
        <v>11</v>
      </c>
      <c r="K47" s="192">
        <f>I47*J47</f>
        <v>0</v>
      </c>
      <c r="L47" s="209"/>
      <c r="M47" s="39"/>
      <c r="N47" s="39"/>
      <c r="O47" s="39"/>
      <c r="P47" s="39"/>
      <c r="Q47" s="39"/>
      <c r="R47" s="39"/>
      <c r="S47" s="39"/>
      <c r="T47" s="39"/>
      <c r="U47" s="39"/>
      <c r="V47" s="39"/>
      <c r="W47" s="39"/>
      <c r="X47" s="39"/>
      <c r="Y47" s="39"/>
      <c r="Z47" s="39"/>
      <c r="AA47" s="39"/>
      <c r="AB47" s="39"/>
      <c r="AC47" s="39"/>
    </row>
    <row r="48" spans="2:29" x14ac:dyDescent="0.35">
      <c r="B48" s="39"/>
      <c r="C48" s="44" t="s">
        <v>340</v>
      </c>
      <c r="E48" s="190"/>
      <c r="G48" s="35"/>
      <c r="H48" s="35">
        <v>200</v>
      </c>
      <c r="I48" s="192">
        <f>G48*H48/1000</f>
        <v>0</v>
      </c>
      <c r="J48" s="190">
        <v>11</v>
      </c>
      <c r="K48" s="192">
        <f>I48*J48</f>
        <v>0</v>
      </c>
      <c r="L48" s="209"/>
      <c r="M48" s="39"/>
      <c r="N48" s="39"/>
      <c r="O48" s="39"/>
      <c r="P48" s="39"/>
      <c r="Q48" s="39"/>
      <c r="R48" s="39"/>
      <c r="S48" s="39"/>
      <c r="T48" s="39"/>
      <c r="U48" s="39"/>
      <c r="V48" s="39"/>
      <c r="W48" s="39"/>
      <c r="X48" s="39"/>
      <c r="Y48" s="39"/>
      <c r="Z48" s="39"/>
      <c r="AA48" s="39"/>
      <c r="AB48" s="39"/>
      <c r="AC48" s="39"/>
    </row>
    <row r="49" spans="2:29" ht="15" thickBot="1" x14ac:dyDescent="0.4">
      <c r="B49" s="39"/>
      <c r="C49" s="39"/>
      <c r="D49" s="39"/>
      <c r="E49" s="55" t="s">
        <v>354</v>
      </c>
      <c r="F49" s="39"/>
      <c r="G49" s="180" t="s">
        <v>350</v>
      </c>
      <c r="H49" s="202" t="s">
        <v>351</v>
      </c>
      <c r="I49" s="180" t="s">
        <v>352</v>
      </c>
      <c r="J49" s="200" t="s">
        <v>60</v>
      </c>
      <c r="K49" s="180" t="s">
        <v>353</v>
      </c>
      <c r="L49" s="39"/>
      <c r="M49" s="39"/>
      <c r="N49" s="39"/>
      <c r="O49" s="39"/>
      <c r="P49" s="39"/>
      <c r="Q49" s="39"/>
      <c r="R49" s="39"/>
      <c r="S49" s="39"/>
      <c r="T49" s="39"/>
      <c r="U49" s="39"/>
      <c r="V49" s="39"/>
      <c r="W49" s="39"/>
      <c r="X49" s="39"/>
      <c r="Y49" s="39"/>
      <c r="Z49" s="39"/>
      <c r="AA49" s="39"/>
      <c r="AB49" s="39"/>
      <c r="AC49" s="39"/>
    </row>
    <row r="50" spans="2:29" ht="15" thickBot="1" x14ac:dyDescent="0.4">
      <c r="B50" s="77" t="s">
        <v>348</v>
      </c>
      <c r="E50" s="186">
        <f>SUM(E51:E55)</f>
        <v>4</v>
      </c>
      <c r="G50" s="191">
        <f>IF(E50=0,0,($E51*G51+$E52*G52+$E53*G53+$E54*G54+$E55*G55)/E50)</f>
        <v>5000</v>
      </c>
      <c r="H50" s="201">
        <f>IF(G50=0,0,I50/G50*1000)</f>
        <v>860</v>
      </c>
      <c r="I50" s="191">
        <f>IF(E50=0,0,($E51*I51+$E52*I52+$E53*I53+$E54*I54+$E55*I55)/E50)</f>
        <v>4300</v>
      </c>
      <c r="J50" s="203">
        <f>IF(I50=0,0,K50/I50)</f>
        <v>10.5</v>
      </c>
      <c r="K50" s="191">
        <f>IF(E50=0,0,($E51*K51+$E52*K52+$E53*K53+$E54*K54+$E55*K55)/E50)</f>
        <v>45150</v>
      </c>
      <c r="L50" s="209"/>
      <c r="M50" s="39"/>
      <c r="N50" s="39"/>
      <c r="O50" s="39"/>
      <c r="P50" s="39"/>
      <c r="Q50" s="39"/>
      <c r="R50" s="39"/>
      <c r="S50" s="39"/>
      <c r="T50" s="39"/>
      <c r="U50" s="39"/>
      <c r="V50" s="39"/>
      <c r="W50" s="39"/>
      <c r="X50" s="39"/>
      <c r="Y50" s="39"/>
      <c r="Z50" s="39"/>
      <c r="AA50" s="39"/>
      <c r="AB50" s="39"/>
      <c r="AC50" s="39"/>
    </row>
    <row r="51" spans="2:29" x14ac:dyDescent="0.35">
      <c r="B51" s="39"/>
      <c r="C51" s="845" t="s">
        <v>45</v>
      </c>
      <c r="D51" s="846"/>
      <c r="E51" s="190">
        <v>4</v>
      </c>
      <c r="G51" s="35">
        <v>5000</v>
      </c>
      <c r="H51" s="35">
        <v>860</v>
      </c>
      <c r="I51" s="192">
        <f>G51*H51/1000</f>
        <v>4300</v>
      </c>
      <c r="J51" s="190">
        <v>10.5</v>
      </c>
      <c r="K51" s="192">
        <f>I51*J51</f>
        <v>45150</v>
      </c>
      <c r="L51" s="209"/>
      <c r="M51" s="39"/>
      <c r="N51" s="39"/>
      <c r="O51" s="39"/>
      <c r="P51" s="39"/>
      <c r="Q51" s="39"/>
      <c r="R51" s="39"/>
      <c r="S51" s="39"/>
      <c r="T51" s="39"/>
      <c r="U51" s="39"/>
      <c r="V51" s="39"/>
      <c r="W51" s="39"/>
      <c r="X51" s="39"/>
      <c r="Y51" s="39"/>
      <c r="Z51" s="39"/>
      <c r="AA51" s="39"/>
      <c r="AB51" s="39"/>
      <c r="AC51" s="39"/>
    </row>
    <row r="52" spans="2:29" x14ac:dyDescent="0.35">
      <c r="B52" s="39"/>
      <c r="C52" s="845" t="s">
        <v>349</v>
      </c>
      <c r="D52" s="846"/>
      <c r="E52" s="190"/>
      <c r="G52" s="35"/>
      <c r="H52" s="35"/>
      <c r="I52" s="192">
        <f>G52*H52/1000</f>
        <v>0</v>
      </c>
      <c r="J52" s="190"/>
      <c r="K52" s="192">
        <f>I52*J52</f>
        <v>0</v>
      </c>
      <c r="L52" s="209"/>
      <c r="M52" s="39"/>
      <c r="N52" s="39"/>
      <c r="O52" s="39"/>
      <c r="P52" s="39"/>
      <c r="Q52" s="39"/>
      <c r="R52" s="39"/>
      <c r="S52" s="39"/>
      <c r="T52" s="39"/>
      <c r="U52" s="39"/>
      <c r="V52" s="39"/>
      <c r="W52" s="39"/>
      <c r="X52" s="39"/>
      <c r="Y52" s="39"/>
      <c r="Z52" s="39"/>
      <c r="AA52" s="39"/>
      <c r="AB52" s="39"/>
      <c r="AC52" s="39"/>
    </row>
    <row r="53" spans="2:29" x14ac:dyDescent="0.35">
      <c r="B53" s="39"/>
      <c r="C53" s="845"/>
      <c r="D53" s="846"/>
      <c r="E53" s="190"/>
      <c r="G53" s="35"/>
      <c r="H53" s="35"/>
      <c r="I53" s="192">
        <f>G53*H53/1000</f>
        <v>0</v>
      </c>
      <c r="J53" s="190"/>
      <c r="K53" s="192">
        <f>I53*J53</f>
        <v>0</v>
      </c>
      <c r="L53" s="209"/>
      <c r="M53" s="39"/>
      <c r="N53" s="39"/>
      <c r="O53" s="39"/>
      <c r="P53" s="39"/>
      <c r="Q53" s="39"/>
      <c r="R53" s="39"/>
      <c r="S53" s="39"/>
      <c r="T53" s="39"/>
      <c r="U53" s="39"/>
      <c r="V53" s="39"/>
      <c r="W53" s="39"/>
      <c r="X53" s="39"/>
      <c r="Y53" s="39"/>
      <c r="Z53" s="39"/>
      <c r="AA53" s="39"/>
      <c r="AB53" s="39"/>
      <c r="AC53" s="39"/>
    </row>
    <row r="54" spans="2:29" x14ac:dyDescent="0.35">
      <c r="B54" s="39"/>
      <c r="C54" s="845"/>
      <c r="D54" s="846"/>
      <c r="E54" s="190"/>
      <c r="G54" s="35"/>
      <c r="H54" s="35"/>
      <c r="I54" s="192">
        <f>G54*H54/1000</f>
        <v>0</v>
      </c>
      <c r="J54" s="190"/>
      <c r="K54" s="192">
        <f>I54*J54</f>
        <v>0</v>
      </c>
      <c r="L54" s="209"/>
      <c r="M54" s="39"/>
      <c r="N54" s="39"/>
      <c r="O54" s="39"/>
      <c r="P54" s="39"/>
      <c r="Q54" s="39"/>
      <c r="R54" s="39"/>
      <c r="S54" s="39"/>
      <c r="T54" s="39"/>
      <c r="U54" s="39"/>
      <c r="V54" s="39"/>
      <c r="W54" s="39"/>
      <c r="X54" s="39"/>
      <c r="Y54" s="39"/>
      <c r="Z54" s="39"/>
      <c r="AA54" s="39"/>
      <c r="AB54" s="39"/>
      <c r="AC54" s="39"/>
    </row>
    <row r="55" spans="2:29" x14ac:dyDescent="0.35">
      <c r="B55" s="39"/>
      <c r="C55" s="44" t="s">
        <v>340</v>
      </c>
      <c r="E55" s="190"/>
      <c r="G55" s="35"/>
      <c r="H55" s="35"/>
      <c r="I55" s="192">
        <f>G55*H55/1000</f>
        <v>0</v>
      </c>
      <c r="J55" s="190"/>
      <c r="K55" s="192">
        <f>I55*J55</f>
        <v>0</v>
      </c>
      <c r="L55" s="209"/>
      <c r="M55" s="39"/>
      <c r="N55" s="39"/>
      <c r="O55" s="39"/>
      <c r="P55" s="39"/>
      <c r="Q55" s="39"/>
      <c r="R55" s="39"/>
      <c r="S55" s="39"/>
      <c r="T55" s="39"/>
      <c r="U55" s="39"/>
      <c r="V55" s="39"/>
      <c r="W55" s="39"/>
      <c r="X55" s="39"/>
      <c r="Y55" s="39"/>
      <c r="Z55" s="39"/>
      <c r="AA55" s="39"/>
      <c r="AB55" s="39"/>
      <c r="AC55" s="39"/>
    </row>
    <row r="56" spans="2:29" x14ac:dyDescent="0.35">
      <c r="B56" s="39"/>
      <c r="C56" s="39"/>
      <c r="D56" s="39"/>
      <c r="E56" s="39"/>
      <c r="F56" s="39"/>
      <c r="G56" s="39"/>
      <c r="H56" s="39"/>
      <c r="I56" s="39"/>
      <c r="J56" s="39"/>
      <c r="K56" s="39"/>
      <c r="L56" s="39"/>
      <c r="M56" s="39"/>
      <c r="N56" s="39"/>
      <c r="O56" s="39"/>
      <c r="P56" s="39"/>
      <c r="Q56" s="39"/>
      <c r="R56" s="39"/>
      <c r="S56" s="39"/>
      <c r="T56" s="39"/>
      <c r="U56" s="39"/>
      <c r="V56" s="39"/>
      <c r="W56" s="39"/>
      <c r="X56" s="39"/>
      <c r="Y56" s="39"/>
      <c r="Z56" s="39"/>
      <c r="AA56" s="39"/>
      <c r="AB56" s="39"/>
      <c r="AC56" s="39"/>
    </row>
    <row r="57" spans="2:29" x14ac:dyDescent="0.35">
      <c r="B57" s="39"/>
      <c r="C57" s="39"/>
      <c r="D57" s="39"/>
      <c r="E57" s="39"/>
      <c r="F57" s="39"/>
      <c r="G57" s="39"/>
      <c r="H57" s="39"/>
      <c r="I57" s="39"/>
      <c r="J57" s="39"/>
      <c r="K57" s="39"/>
      <c r="L57" s="39"/>
      <c r="M57" s="39"/>
      <c r="N57" s="39"/>
      <c r="O57" s="39"/>
      <c r="P57" s="39"/>
      <c r="Q57" s="39"/>
      <c r="R57" s="39"/>
      <c r="S57" s="39"/>
      <c r="T57" s="39"/>
      <c r="U57" s="39"/>
      <c r="V57" s="39"/>
      <c r="W57" s="39"/>
      <c r="X57" s="39"/>
      <c r="Y57" s="39"/>
      <c r="Z57" s="39"/>
      <c r="AA57" s="39"/>
      <c r="AB57" s="39"/>
      <c r="AC57" s="39"/>
    </row>
    <row r="58" spans="2:29" x14ac:dyDescent="0.35">
      <c r="B58" s="39"/>
      <c r="C58" s="39"/>
      <c r="D58" s="39"/>
      <c r="E58" s="39"/>
      <c r="F58" s="39"/>
      <c r="G58" s="39"/>
      <c r="H58" s="39"/>
      <c r="I58" s="39"/>
      <c r="J58" s="39"/>
      <c r="K58" s="39"/>
      <c r="L58" s="39"/>
      <c r="M58" s="39"/>
      <c r="N58" s="39"/>
      <c r="O58" s="39"/>
      <c r="P58" s="39"/>
      <c r="Q58" s="39"/>
      <c r="R58" s="39"/>
      <c r="S58" s="39"/>
      <c r="T58" s="39"/>
      <c r="U58" s="39"/>
      <c r="V58" s="39"/>
      <c r="W58" s="39"/>
      <c r="X58" s="39"/>
      <c r="Y58" s="39"/>
      <c r="Z58" s="39"/>
      <c r="AA58" s="39"/>
      <c r="AB58" s="39"/>
      <c r="AC58" s="39"/>
    </row>
    <row r="59" spans="2:29" x14ac:dyDescent="0.35">
      <c r="B59" s="39"/>
      <c r="C59" s="39"/>
      <c r="D59" s="39"/>
      <c r="E59" s="39"/>
      <c r="F59" s="39"/>
      <c r="G59" s="39"/>
      <c r="H59" s="39"/>
      <c r="I59" s="39"/>
      <c r="J59" s="39"/>
      <c r="K59" s="39"/>
      <c r="L59" s="39"/>
      <c r="M59" s="39"/>
      <c r="N59" s="39"/>
      <c r="O59" s="39"/>
      <c r="P59" s="39"/>
      <c r="Q59" s="39"/>
      <c r="R59" s="39"/>
      <c r="S59" s="39"/>
      <c r="T59" s="39"/>
      <c r="U59" s="39"/>
      <c r="V59" s="39"/>
      <c r="W59" s="39"/>
      <c r="X59" s="39"/>
      <c r="Y59" s="39"/>
      <c r="Z59" s="39"/>
      <c r="AA59" s="39"/>
      <c r="AB59" s="39"/>
      <c r="AC59" s="39"/>
    </row>
    <row r="60" spans="2:29" x14ac:dyDescent="0.35">
      <c r="B60" s="39"/>
      <c r="C60" s="39"/>
      <c r="D60" s="39"/>
      <c r="E60" s="39"/>
      <c r="F60" s="39"/>
      <c r="G60" s="39"/>
      <c r="H60" s="39"/>
      <c r="I60" s="39"/>
      <c r="J60" s="39"/>
      <c r="K60" s="39"/>
      <c r="L60" s="39"/>
      <c r="M60" s="39"/>
      <c r="N60" s="39"/>
      <c r="O60" s="39"/>
      <c r="P60" s="39"/>
      <c r="Q60" s="39"/>
      <c r="R60" s="39"/>
      <c r="S60" s="39"/>
      <c r="T60" s="39"/>
      <c r="U60" s="39"/>
      <c r="V60" s="39"/>
      <c r="W60" s="39"/>
      <c r="X60" s="39"/>
      <c r="Y60" s="39"/>
      <c r="Z60" s="39"/>
      <c r="AA60" s="39"/>
      <c r="AB60" s="39"/>
      <c r="AC60" s="39"/>
    </row>
    <row r="61" spans="2:29" x14ac:dyDescent="0.35">
      <c r="B61" s="39"/>
      <c r="C61" s="39"/>
      <c r="D61" s="39"/>
      <c r="E61" s="39"/>
      <c r="F61" s="39"/>
      <c r="G61" s="39"/>
      <c r="H61" s="39"/>
      <c r="I61" s="39"/>
      <c r="J61" s="39"/>
      <c r="K61" s="39"/>
      <c r="L61" s="39"/>
      <c r="M61" s="39"/>
      <c r="N61" s="39"/>
      <c r="O61" s="39"/>
      <c r="P61" s="39"/>
      <c r="Q61" s="39"/>
      <c r="R61" s="39"/>
      <c r="S61" s="39"/>
      <c r="T61" s="39"/>
      <c r="U61" s="39"/>
      <c r="V61" s="39"/>
      <c r="W61" s="39"/>
      <c r="X61" s="39"/>
      <c r="Y61" s="39"/>
      <c r="Z61" s="39"/>
      <c r="AA61" s="39"/>
      <c r="AB61" s="39"/>
      <c r="AC61" s="39"/>
    </row>
    <row r="62" spans="2:29" x14ac:dyDescent="0.35">
      <c r="B62" s="39"/>
      <c r="C62" s="39"/>
      <c r="D62" s="39"/>
      <c r="E62" s="39"/>
      <c r="F62" s="39"/>
      <c r="G62" s="39"/>
      <c r="H62" s="39"/>
      <c r="I62" s="39"/>
      <c r="J62" s="39"/>
      <c r="K62" s="39"/>
      <c r="L62" s="39"/>
      <c r="M62" s="39"/>
      <c r="N62" s="39"/>
      <c r="O62" s="39"/>
      <c r="P62" s="39"/>
      <c r="Q62" s="39"/>
      <c r="R62" s="39"/>
      <c r="S62" s="39"/>
      <c r="T62" s="39"/>
      <c r="U62" s="39"/>
      <c r="V62" s="39"/>
      <c r="W62" s="39"/>
      <c r="X62" s="39"/>
      <c r="Y62" s="39"/>
      <c r="Z62" s="39"/>
      <c r="AA62" s="39"/>
      <c r="AB62" s="39"/>
      <c r="AC62" s="39"/>
    </row>
    <row r="63" spans="2:29" x14ac:dyDescent="0.35">
      <c r="B63" s="39"/>
      <c r="C63" s="39"/>
      <c r="D63" s="39"/>
      <c r="E63" s="39"/>
      <c r="F63" s="39"/>
      <c r="G63" s="39"/>
      <c r="H63" s="39"/>
      <c r="I63" s="39"/>
      <c r="J63" s="39"/>
      <c r="K63" s="39"/>
      <c r="L63" s="39"/>
      <c r="M63" s="39"/>
      <c r="N63" s="39"/>
      <c r="O63" s="39"/>
      <c r="P63" s="39"/>
      <c r="Q63" s="39"/>
      <c r="R63" s="39"/>
      <c r="S63" s="39"/>
      <c r="T63" s="39"/>
      <c r="U63" s="39"/>
      <c r="V63" s="39"/>
      <c r="W63" s="39"/>
      <c r="X63" s="39"/>
      <c r="Y63" s="39"/>
      <c r="Z63" s="39"/>
      <c r="AA63" s="39"/>
      <c r="AB63" s="39"/>
      <c r="AC63" s="39"/>
    </row>
    <row r="64" spans="2:29" x14ac:dyDescent="0.35">
      <c r="B64" s="39"/>
      <c r="C64" s="39"/>
      <c r="D64" s="39"/>
      <c r="E64" s="39"/>
      <c r="F64" s="39"/>
      <c r="G64" s="39"/>
      <c r="H64" s="39"/>
      <c r="I64" s="39"/>
      <c r="J64" s="39"/>
      <c r="K64" s="39"/>
      <c r="L64" s="39"/>
      <c r="M64" s="39"/>
      <c r="N64" s="39"/>
      <c r="O64" s="39"/>
      <c r="P64" s="39"/>
      <c r="Q64" s="39"/>
      <c r="R64" s="39"/>
      <c r="S64" s="39"/>
      <c r="T64" s="39"/>
      <c r="U64" s="39"/>
      <c r="V64" s="39"/>
      <c r="W64" s="39"/>
      <c r="X64" s="39"/>
      <c r="Y64" s="39"/>
      <c r="Z64" s="39"/>
      <c r="AA64" s="39"/>
      <c r="AB64" s="39"/>
      <c r="AC64" s="39"/>
    </row>
    <row r="65" spans="1:29" x14ac:dyDescent="0.35">
      <c r="B65" s="39"/>
      <c r="C65" s="39"/>
      <c r="D65" s="39"/>
      <c r="E65" s="39"/>
      <c r="F65" s="39"/>
      <c r="G65" s="39"/>
      <c r="H65" s="39"/>
      <c r="I65" s="39"/>
      <c r="J65" s="39"/>
      <c r="K65" s="39"/>
      <c r="L65" s="39"/>
      <c r="M65" s="39"/>
      <c r="N65" s="39"/>
      <c r="O65" s="39"/>
      <c r="P65" s="39"/>
      <c r="Q65" s="39"/>
      <c r="R65" s="39"/>
      <c r="S65" s="39"/>
      <c r="T65" s="39"/>
      <c r="U65" s="39"/>
      <c r="V65" s="39"/>
      <c r="W65" s="39"/>
      <c r="X65" s="39"/>
      <c r="Y65" s="39"/>
      <c r="Z65" s="39"/>
      <c r="AA65" s="39"/>
      <c r="AB65" s="39"/>
      <c r="AC65" s="39"/>
    </row>
    <row r="66" spans="1:29" x14ac:dyDescent="0.35">
      <c r="B66" s="39"/>
      <c r="C66" s="39"/>
      <c r="D66" s="39"/>
      <c r="E66" s="39"/>
      <c r="F66" s="39"/>
      <c r="G66" s="39"/>
      <c r="H66" s="39"/>
      <c r="I66" s="39"/>
      <c r="J66" s="39"/>
      <c r="K66" s="39"/>
      <c r="L66" s="39"/>
      <c r="M66" s="39"/>
      <c r="N66" s="39"/>
      <c r="O66" s="39"/>
      <c r="P66" s="39"/>
      <c r="Q66" s="39"/>
      <c r="R66" s="39"/>
      <c r="S66" s="39"/>
      <c r="T66" s="39"/>
      <c r="U66" s="39"/>
      <c r="V66" s="39"/>
      <c r="W66" s="39"/>
      <c r="X66" s="39"/>
      <c r="Y66" s="39"/>
      <c r="Z66" s="39"/>
      <c r="AA66" s="39"/>
      <c r="AB66" s="39"/>
      <c r="AC66" s="39"/>
    </row>
    <row r="67" spans="1:29" x14ac:dyDescent="0.35">
      <c r="B67" s="39"/>
      <c r="C67" s="39"/>
      <c r="D67" s="39"/>
      <c r="E67" s="39"/>
      <c r="F67" s="39"/>
      <c r="G67" s="39"/>
      <c r="H67" s="39"/>
      <c r="I67" s="39"/>
      <c r="J67" s="39"/>
      <c r="K67" s="39"/>
      <c r="L67" s="39"/>
      <c r="M67" s="39"/>
      <c r="N67" s="39"/>
      <c r="O67" s="39"/>
      <c r="P67" s="39"/>
      <c r="Q67" s="39"/>
      <c r="R67" s="39"/>
      <c r="S67" s="39"/>
      <c r="T67" s="39"/>
      <c r="U67" s="39"/>
      <c r="V67" s="39"/>
      <c r="W67" s="39"/>
      <c r="X67" s="39"/>
      <c r="Y67" s="39"/>
      <c r="Z67" s="39"/>
      <c r="AA67" s="39"/>
      <c r="AB67" s="39"/>
      <c r="AC67" s="39"/>
    </row>
    <row r="68" spans="1:29" x14ac:dyDescent="0.35">
      <c r="B68" s="39"/>
      <c r="C68" s="39"/>
      <c r="D68" s="39"/>
      <c r="E68" s="39"/>
      <c r="F68" s="39"/>
      <c r="G68" s="39"/>
      <c r="H68" s="39"/>
      <c r="I68" s="39"/>
      <c r="J68" s="39"/>
      <c r="K68" s="39"/>
      <c r="L68" s="39"/>
      <c r="M68" s="39"/>
      <c r="N68" s="39"/>
      <c r="O68" s="39"/>
      <c r="P68" s="39"/>
      <c r="Q68" s="39"/>
      <c r="R68" s="39"/>
      <c r="S68" s="39"/>
      <c r="T68" s="39"/>
      <c r="U68" s="39"/>
      <c r="V68" s="39"/>
      <c r="W68" s="39"/>
      <c r="X68" s="39"/>
      <c r="Y68" s="39"/>
      <c r="Z68" s="39"/>
      <c r="AA68" s="39"/>
      <c r="AB68" s="39"/>
      <c r="AC68" s="39"/>
    </row>
    <row r="69" spans="1:29" x14ac:dyDescent="0.35">
      <c r="B69" s="39"/>
      <c r="C69" s="39"/>
      <c r="D69" s="39"/>
      <c r="E69" s="39"/>
      <c r="F69" s="39"/>
      <c r="G69" s="39"/>
      <c r="H69" s="39"/>
      <c r="I69" s="39"/>
      <c r="J69" s="39"/>
      <c r="K69" s="39"/>
      <c r="L69" s="39"/>
      <c r="M69" s="39"/>
      <c r="N69" s="39"/>
      <c r="O69" s="39"/>
      <c r="P69" s="39"/>
      <c r="Q69" s="39"/>
      <c r="R69" s="39"/>
      <c r="S69" s="39"/>
      <c r="T69" s="39"/>
      <c r="U69" s="39"/>
      <c r="V69" s="39"/>
      <c r="W69" s="39"/>
      <c r="X69" s="39"/>
      <c r="Y69" s="39"/>
      <c r="Z69" s="39"/>
      <c r="AA69" s="39"/>
      <c r="AB69" s="39"/>
      <c r="AC69" s="39"/>
    </row>
    <row r="70" spans="1:29" x14ac:dyDescent="0.35">
      <c r="B70" s="39"/>
      <c r="C70" s="39"/>
      <c r="D70" s="39"/>
      <c r="E70" s="39"/>
      <c r="F70" s="39"/>
      <c r="G70" s="39"/>
      <c r="H70" s="39"/>
      <c r="I70" s="39"/>
      <c r="J70" s="39"/>
      <c r="K70" s="39"/>
      <c r="L70" s="39"/>
      <c r="M70" s="39"/>
      <c r="N70" s="39"/>
      <c r="O70" s="39"/>
      <c r="P70" s="39"/>
      <c r="Q70" s="39"/>
      <c r="R70" s="39"/>
      <c r="S70" s="39"/>
      <c r="T70" s="39"/>
      <c r="U70" s="39"/>
      <c r="V70" s="39"/>
      <c r="W70" s="39"/>
      <c r="X70" s="39"/>
      <c r="Y70" s="39"/>
      <c r="Z70" s="39"/>
      <c r="AA70" s="39"/>
      <c r="AB70" s="39"/>
      <c r="AC70" s="39"/>
    </row>
    <row r="71" spans="1:29" s="212" customFormat="1" x14ac:dyDescent="0.35"/>
    <row r="72" spans="1:29" s="213" customFormat="1" x14ac:dyDescent="0.35"/>
    <row r="73" spans="1:29" s="213" customFormat="1" x14ac:dyDescent="0.35">
      <c r="A73" s="212"/>
      <c r="B73" s="212" t="s">
        <v>9</v>
      </c>
      <c r="C73" s="212"/>
      <c r="D73" s="212" t="s">
        <v>398</v>
      </c>
    </row>
    <row r="74" spans="1:29" s="213" customFormat="1" x14ac:dyDescent="0.35">
      <c r="A74" s="212"/>
      <c r="B74" s="212"/>
      <c r="C74" s="212"/>
      <c r="D74" s="212"/>
    </row>
    <row r="75" spans="1:29" s="213" customFormat="1" x14ac:dyDescent="0.35">
      <c r="A75" s="212"/>
      <c r="B75" s="212"/>
      <c r="C75" s="212" t="s">
        <v>345</v>
      </c>
      <c r="D75" s="212" t="s">
        <v>120</v>
      </c>
    </row>
    <row r="76" spans="1:29" s="213" customFormat="1" x14ac:dyDescent="0.35">
      <c r="A76" s="212"/>
      <c r="B76" s="212"/>
      <c r="C76" s="212"/>
      <c r="D76" s="212" t="s">
        <v>337</v>
      </c>
    </row>
    <row r="77" spans="1:29" s="213" customFormat="1" x14ac:dyDescent="0.35">
      <c r="A77" s="212"/>
      <c r="B77" s="212"/>
      <c r="C77" s="212"/>
      <c r="D77" s="212" t="s">
        <v>338</v>
      </c>
    </row>
    <row r="78" spans="1:29" s="213" customFormat="1" x14ac:dyDescent="0.35">
      <c r="A78" s="212"/>
      <c r="B78" s="212"/>
      <c r="C78" s="212"/>
      <c r="D78" s="212" t="s">
        <v>339</v>
      </c>
    </row>
    <row r="79" spans="1:29" s="213" customFormat="1" x14ac:dyDescent="0.35">
      <c r="A79" s="212"/>
      <c r="B79" s="212"/>
      <c r="C79" s="212"/>
      <c r="D79" s="212"/>
    </row>
    <row r="80" spans="1:29" s="213" customFormat="1" x14ac:dyDescent="0.35">
      <c r="A80" s="212"/>
      <c r="B80" s="212"/>
      <c r="C80" s="212" t="s">
        <v>346</v>
      </c>
      <c r="D80" s="212" t="s">
        <v>120</v>
      </c>
    </row>
    <row r="81" spans="1:4" s="213" customFormat="1" x14ac:dyDescent="0.35">
      <c r="A81" s="212"/>
      <c r="B81" s="212"/>
      <c r="C81" s="212"/>
      <c r="D81" s="212" t="s">
        <v>337</v>
      </c>
    </row>
    <row r="82" spans="1:4" s="213" customFormat="1" x14ac:dyDescent="0.35">
      <c r="A82" s="212"/>
      <c r="B82" s="212"/>
      <c r="C82" s="212"/>
      <c r="D82" s="212" t="s">
        <v>338</v>
      </c>
    </row>
    <row r="83" spans="1:4" s="213" customFormat="1" x14ac:dyDescent="0.35">
      <c r="A83" s="212"/>
      <c r="B83" s="212"/>
      <c r="C83" s="212"/>
      <c r="D83" s="212" t="s">
        <v>339</v>
      </c>
    </row>
    <row r="84" spans="1:4" s="213" customFormat="1" x14ac:dyDescent="0.35">
      <c r="A84" s="212"/>
      <c r="B84" s="212"/>
      <c r="C84" s="212"/>
      <c r="D84" s="212"/>
    </row>
    <row r="85" spans="1:4" s="213" customFormat="1" x14ac:dyDescent="0.35">
      <c r="A85" s="212"/>
      <c r="B85" s="212"/>
      <c r="C85" s="212" t="s">
        <v>341</v>
      </c>
      <c r="D85" s="212" t="s">
        <v>120</v>
      </c>
    </row>
    <row r="86" spans="1:4" s="213" customFormat="1" x14ac:dyDescent="0.35">
      <c r="A86" s="212"/>
      <c r="B86" s="212"/>
      <c r="C86" s="212"/>
      <c r="D86" s="212" t="s">
        <v>337</v>
      </c>
    </row>
    <row r="87" spans="1:4" s="213" customFormat="1" x14ac:dyDescent="0.35">
      <c r="A87" s="212"/>
      <c r="B87" s="212"/>
      <c r="C87" s="212"/>
      <c r="D87" s="212" t="s">
        <v>338</v>
      </c>
    </row>
    <row r="88" spans="1:4" s="213" customFormat="1" x14ac:dyDescent="0.35">
      <c r="A88" s="212"/>
      <c r="B88" s="212"/>
      <c r="C88" s="212"/>
      <c r="D88" s="212" t="s">
        <v>339</v>
      </c>
    </row>
    <row r="89" spans="1:4" s="213" customFormat="1" x14ac:dyDescent="0.35">
      <c r="A89" s="212"/>
      <c r="B89" s="212"/>
      <c r="C89" s="212"/>
      <c r="D89" s="212"/>
    </row>
    <row r="90" spans="1:4" s="213" customFormat="1" x14ac:dyDescent="0.35">
      <c r="A90" s="212"/>
      <c r="B90" s="212"/>
      <c r="C90" s="212" t="s">
        <v>340</v>
      </c>
      <c r="D90" s="212" t="s">
        <v>120</v>
      </c>
    </row>
    <row r="91" spans="1:4" s="213" customFormat="1" x14ac:dyDescent="0.35">
      <c r="A91" s="212"/>
      <c r="B91" s="212"/>
      <c r="C91" s="212"/>
      <c r="D91" s="212" t="s">
        <v>337</v>
      </c>
    </row>
    <row r="92" spans="1:4" s="213" customFormat="1" x14ac:dyDescent="0.35">
      <c r="A92" s="212"/>
      <c r="B92" s="212"/>
      <c r="C92" s="212"/>
      <c r="D92" s="212" t="s">
        <v>338</v>
      </c>
    </row>
    <row r="93" spans="1:4" s="213" customFormat="1" x14ac:dyDescent="0.35">
      <c r="A93" s="212"/>
      <c r="B93" s="212"/>
      <c r="C93" s="212"/>
      <c r="D93" s="212" t="s">
        <v>339</v>
      </c>
    </row>
    <row r="94" spans="1:4" s="213" customFormat="1" x14ac:dyDescent="0.35">
      <c r="A94" s="212"/>
      <c r="B94" s="212"/>
      <c r="C94" s="212"/>
      <c r="D94" s="212"/>
    </row>
    <row r="95" spans="1:4" s="213" customFormat="1" x14ac:dyDescent="0.35">
      <c r="A95" s="212"/>
      <c r="B95" s="212" t="s">
        <v>10</v>
      </c>
      <c r="C95" s="212"/>
      <c r="D95" s="212" t="s">
        <v>399</v>
      </c>
    </row>
    <row r="96" spans="1:4" s="213" customFormat="1" x14ac:dyDescent="0.35">
      <c r="A96" s="212"/>
      <c r="B96" s="212"/>
      <c r="C96" s="212"/>
      <c r="D96" s="212" t="s">
        <v>342</v>
      </c>
    </row>
    <row r="97" spans="1:4" s="213" customFormat="1" x14ac:dyDescent="0.35">
      <c r="A97" s="212"/>
      <c r="B97" s="212"/>
      <c r="C97" s="212"/>
      <c r="D97" s="212" t="s">
        <v>343</v>
      </c>
    </row>
    <row r="98" spans="1:4" s="213" customFormat="1" x14ac:dyDescent="0.35">
      <c r="A98" s="212"/>
      <c r="B98" s="212"/>
      <c r="C98" s="212"/>
      <c r="D98" s="212" t="s">
        <v>344</v>
      </c>
    </row>
    <row r="99" spans="1:4" s="213" customFormat="1" x14ac:dyDescent="0.35">
      <c r="A99" s="212"/>
      <c r="B99" s="212"/>
      <c r="C99" s="212"/>
      <c r="D99" s="212" t="s">
        <v>347</v>
      </c>
    </row>
    <row r="100" spans="1:4" s="213" customFormat="1" x14ac:dyDescent="0.35">
      <c r="A100" s="212"/>
      <c r="B100" s="212"/>
      <c r="C100" s="212"/>
      <c r="D100" s="212" t="s">
        <v>340</v>
      </c>
    </row>
    <row r="101" spans="1:4" s="213" customFormat="1" x14ac:dyDescent="0.35">
      <c r="A101" s="212"/>
      <c r="B101" s="212"/>
      <c r="C101" s="212"/>
      <c r="D101" s="212"/>
    </row>
    <row r="102" spans="1:4" s="213" customFormat="1" x14ac:dyDescent="0.35">
      <c r="A102" s="212"/>
      <c r="B102" s="212" t="s">
        <v>48</v>
      </c>
      <c r="C102" s="212"/>
      <c r="D102" s="212" t="s">
        <v>400</v>
      </c>
    </row>
    <row r="103" spans="1:4" s="213" customFormat="1" x14ac:dyDescent="0.35">
      <c r="A103" s="212"/>
      <c r="B103" s="212"/>
      <c r="C103" s="212"/>
      <c r="D103" s="212" t="s">
        <v>345</v>
      </c>
    </row>
    <row r="104" spans="1:4" s="213" customFormat="1" x14ac:dyDescent="0.35">
      <c r="A104" s="212"/>
      <c r="B104" s="212"/>
      <c r="C104" s="212"/>
      <c r="D104" s="212" t="s">
        <v>346</v>
      </c>
    </row>
    <row r="105" spans="1:4" s="213" customFormat="1" x14ac:dyDescent="0.35">
      <c r="A105" s="212"/>
      <c r="B105" s="212"/>
      <c r="C105" s="212"/>
      <c r="D105" s="212" t="s">
        <v>341</v>
      </c>
    </row>
    <row r="106" spans="1:4" s="213" customFormat="1" x14ac:dyDescent="0.35">
      <c r="A106" s="212"/>
      <c r="B106" s="212"/>
      <c r="C106" s="212"/>
      <c r="D106" s="212" t="s">
        <v>355</v>
      </c>
    </row>
    <row r="107" spans="1:4" s="213" customFormat="1" x14ac:dyDescent="0.35">
      <c r="A107" s="212"/>
      <c r="B107" s="212"/>
      <c r="C107" s="212"/>
      <c r="D107" s="212" t="s">
        <v>340</v>
      </c>
    </row>
    <row r="108" spans="1:4" s="213" customFormat="1" x14ac:dyDescent="0.35">
      <c r="A108" s="212"/>
      <c r="B108" s="212"/>
      <c r="C108" s="212"/>
      <c r="D108" s="212"/>
    </row>
    <row r="109" spans="1:4" s="213" customFormat="1" x14ac:dyDescent="0.35">
      <c r="A109" s="212"/>
      <c r="B109" s="212" t="s">
        <v>46</v>
      </c>
      <c r="C109" s="212"/>
      <c r="D109" s="212" t="s">
        <v>401</v>
      </c>
    </row>
    <row r="110" spans="1:4" s="213" customFormat="1" x14ac:dyDescent="0.35">
      <c r="A110" s="212"/>
      <c r="B110" s="212"/>
      <c r="C110" s="212"/>
      <c r="D110" s="212" t="s">
        <v>380</v>
      </c>
    </row>
    <row r="111" spans="1:4" s="213" customFormat="1" x14ac:dyDescent="0.35">
      <c r="A111" s="212"/>
      <c r="B111" s="212"/>
      <c r="C111" s="212"/>
      <c r="D111" s="212" t="s">
        <v>381</v>
      </c>
    </row>
    <row r="112" spans="1:4" s="213" customFormat="1" x14ac:dyDescent="0.35">
      <c r="A112" s="212"/>
      <c r="B112" s="212"/>
      <c r="C112" s="212"/>
      <c r="D112" s="212"/>
    </row>
    <row r="113" spans="1:4" s="213" customFormat="1" x14ac:dyDescent="0.35">
      <c r="A113" s="212"/>
      <c r="B113" s="212"/>
      <c r="C113" s="212"/>
      <c r="D113" s="212" t="s">
        <v>379</v>
      </c>
    </row>
    <row r="114" spans="1:4" s="213" customFormat="1" x14ac:dyDescent="0.35">
      <c r="A114" s="212"/>
      <c r="B114" s="212"/>
      <c r="C114" s="212"/>
      <c r="D114" s="212" t="s">
        <v>340</v>
      </c>
    </row>
    <row r="115" spans="1:4" s="212" customFormat="1" x14ac:dyDescent="0.35"/>
    <row r="116" spans="1:4" s="212" customFormat="1" x14ac:dyDescent="0.35">
      <c r="B116" s="212" t="s">
        <v>348</v>
      </c>
      <c r="D116" s="212" t="s">
        <v>402</v>
      </c>
    </row>
    <row r="117" spans="1:4" s="212" customFormat="1" x14ac:dyDescent="0.35">
      <c r="D117" s="212" t="s">
        <v>45</v>
      </c>
    </row>
    <row r="118" spans="1:4" s="212" customFormat="1" x14ac:dyDescent="0.35">
      <c r="D118" s="212" t="s">
        <v>349</v>
      </c>
    </row>
    <row r="119" spans="1:4" s="212" customFormat="1" x14ac:dyDescent="0.35"/>
    <row r="120" spans="1:4" s="212" customFormat="1" x14ac:dyDescent="0.35"/>
    <row r="121" spans="1:4" s="212" customFormat="1" x14ac:dyDescent="0.35">
      <c r="D121" s="212" t="s">
        <v>340</v>
      </c>
    </row>
  </sheetData>
  <sheetProtection password="CD8A" sheet="1" objects="1" scenarios="1"/>
  <sortState ref="C39:D40">
    <sortCondition ref="C40"/>
  </sortState>
  <mergeCells count="30">
    <mergeCell ref="Y1:AB1"/>
    <mergeCell ref="C39:D39"/>
    <mergeCell ref="C40:D40"/>
    <mergeCell ref="N3:N5"/>
    <mergeCell ref="C9:D9"/>
    <mergeCell ref="C14:D14"/>
    <mergeCell ref="C37:D37"/>
    <mergeCell ref="C38:D38"/>
    <mergeCell ref="Y3:Y5"/>
    <mergeCell ref="Z3:Z5"/>
    <mergeCell ref="AA3:AA5"/>
    <mergeCell ref="AB3:AB5"/>
    <mergeCell ref="M5:M6"/>
    <mergeCell ref="T3:T5"/>
    <mergeCell ref="U3:U5"/>
    <mergeCell ref="V3:V5"/>
    <mergeCell ref="C54:D54"/>
    <mergeCell ref="C44:D44"/>
    <mergeCell ref="C45:D45"/>
    <mergeCell ref="C46:D46"/>
    <mergeCell ref="C53:D53"/>
    <mergeCell ref="C51:D51"/>
    <mergeCell ref="C52:D52"/>
    <mergeCell ref="W3:W5"/>
    <mergeCell ref="X3:X5"/>
    <mergeCell ref="O3:O5"/>
    <mergeCell ref="P3:P5"/>
    <mergeCell ref="Q3:Q5"/>
    <mergeCell ref="R3:R5"/>
    <mergeCell ref="S3:S5"/>
  </mergeCells>
  <conditionalFormatting sqref="I10:I12 I15:I17 I20:I22 I25:I27 I30:I34 I37:I41 I44:I48 I51:I55">
    <cfRule type="top10" dxfId="992" priority="3" percent="1" rank="10"/>
  </conditionalFormatting>
  <conditionalFormatting sqref="K10:K12 K15:K17 K20:K22 K25:K27 K30:K34 K37:K41 K44:K48 K51:K55">
    <cfRule type="top10" dxfId="991" priority="2" percent="1" rank="10"/>
  </conditionalFormatting>
  <conditionalFormatting sqref="A1:Y1 AC1:XFD1 A2:XFD1048576">
    <cfRule type="cellIs" dxfId="990" priority="1" operator="lessThan">
      <formula>0</formula>
    </cfRule>
  </conditionalFormatting>
  <hyperlinks>
    <hyperlink ref="M5:M6" r:id="rId1" display="Tavoite" xr:uid="{00000000-0004-0000-0400-000000000000}"/>
    <hyperlink ref="Y1:AB1" location="Hävikki!A2" display="Rehuanalyysi vrt. varastointihävikki" xr:uid="{00000000-0004-0000-0400-000001000000}"/>
  </hyperlinks>
  <pageMargins left="0.7" right="0.7" top="0.75" bottom="0.75" header="0.3" footer="0.3"/>
  <pageSetup paperSize="9" orientation="portrait" horizontalDpi="300" verticalDpi="300" r:id="rId2"/>
  <drawing r:id="rId3"/>
  <legacyDrawing r:id="rId4"/>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ul4">
    <tabColor rgb="FF42E919"/>
  </sheetPr>
  <dimension ref="A1:AV120"/>
  <sheetViews>
    <sheetView zoomScale="85" zoomScaleNormal="85" workbookViewId="0">
      <pane ySplit="1" topLeftCell="A2" activePane="bottomLeft" state="frozen"/>
      <selection activeCell="E1" sqref="E1"/>
      <selection pane="bottomLeft" activeCell="E17" sqref="E17"/>
    </sheetView>
  </sheetViews>
  <sheetFormatPr defaultColWidth="9.1796875" defaultRowHeight="14.5" x14ac:dyDescent="0.35"/>
  <cols>
    <col min="1" max="1" width="2.6328125" style="49" customWidth="1"/>
    <col min="2" max="2" width="2.6328125" style="44" customWidth="1"/>
    <col min="3" max="9" width="10.6328125" style="44" customWidth="1"/>
    <col min="10" max="10" width="2.6328125" style="44" customWidth="1"/>
    <col min="11" max="11" width="8.81640625" style="44" customWidth="1"/>
    <col min="12" max="12" width="10.6328125" style="44" customWidth="1"/>
    <col min="13" max="13" width="17.6328125" style="44" customWidth="1"/>
    <col min="14" max="14" width="7.36328125" style="44" customWidth="1"/>
    <col min="15" max="15" width="15.1796875" style="44" customWidth="1"/>
    <col min="16" max="16" width="8" style="44" customWidth="1"/>
    <col min="17" max="19" width="20.6328125" style="44" customWidth="1"/>
    <col min="20" max="20" width="2.6328125" style="49" hidden="1" customWidth="1"/>
    <col min="21" max="24" width="10.6328125" style="44" hidden="1" customWidth="1"/>
    <col min="25" max="25" width="2.6328125" style="49" customWidth="1"/>
    <col min="26" max="27" width="10.6328125" style="44" customWidth="1"/>
    <col min="28" max="33" width="9.1796875" style="44"/>
    <col min="34" max="35" width="2.6328125" style="49" customWidth="1"/>
    <col min="36" max="48" width="9.1796875" style="49"/>
    <col min="49" max="16384" width="9.1796875" style="44"/>
  </cols>
  <sheetData>
    <row r="1" spans="1:48" s="410" customFormat="1" ht="27" customHeight="1" x14ac:dyDescent="0.35">
      <c r="A1" s="408"/>
      <c r="B1" s="408"/>
      <c r="C1" s="408"/>
      <c r="D1" s="409"/>
      <c r="E1" s="409" t="s">
        <v>546</v>
      </c>
      <c r="F1" s="408"/>
      <c r="G1" s="408"/>
      <c r="H1" s="408"/>
      <c r="I1" s="408"/>
      <c r="J1" s="408"/>
      <c r="K1" s="408"/>
      <c r="L1" s="408" t="str">
        <f>CONCATENATE(Etusivu!$F$10,," ",Etusivu!$G$10,", ",Etusivu!$F$7," ",Etusivu!$G$7)</f>
        <v>Laskelman laatija: Lappari-elinkeino -hanke, Laskelmavuosi: 2021</v>
      </c>
      <c r="M1" s="408"/>
      <c r="N1" s="408"/>
      <c r="O1" s="408"/>
      <c r="P1" s="408"/>
      <c r="Q1" s="411"/>
      <c r="R1" s="411"/>
      <c r="S1" s="411"/>
      <c r="T1" s="408"/>
      <c r="U1" s="408"/>
      <c r="V1" s="408"/>
      <c r="W1" s="408"/>
      <c r="X1" s="408"/>
      <c r="Y1" s="408"/>
      <c r="Z1" s="408"/>
      <c r="AA1" s="408"/>
      <c r="AB1" s="408"/>
      <c r="AC1" s="408"/>
      <c r="AD1" s="408"/>
      <c r="AE1" s="408"/>
      <c r="AF1" s="408"/>
      <c r="AG1" s="408"/>
      <c r="AH1" s="408"/>
      <c r="AI1" s="408"/>
      <c r="AJ1" s="408"/>
      <c r="AK1" s="408"/>
      <c r="AL1" s="408"/>
      <c r="AM1" s="408"/>
      <c r="AN1" s="408"/>
      <c r="AO1" s="408"/>
      <c r="AP1" s="408"/>
      <c r="AQ1" s="408"/>
      <c r="AR1" s="408"/>
      <c r="AS1" s="408"/>
      <c r="AT1" s="408"/>
      <c r="AU1" s="408"/>
      <c r="AV1" s="408"/>
    </row>
    <row r="2" spans="1:48" s="2" customFormat="1" ht="14.25" customHeight="1" x14ac:dyDescent="0.35">
      <c r="A2" s="3"/>
      <c r="B2" s="4"/>
      <c r="C2" s="1"/>
      <c r="D2" s="1"/>
      <c r="E2" s="1"/>
      <c r="F2" s="1"/>
      <c r="G2" s="1"/>
      <c r="H2" s="1"/>
      <c r="I2" s="1"/>
      <c r="J2" s="1"/>
      <c r="K2" s="1"/>
      <c r="L2" s="1"/>
      <c r="M2" s="1"/>
      <c r="N2" s="1"/>
      <c r="O2" s="1"/>
      <c r="P2" s="1"/>
      <c r="Q2" s="1"/>
      <c r="R2" s="1"/>
      <c r="S2" s="1"/>
      <c r="T2" s="3"/>
      <c r="U2" s="95"/>
      <c r="V2" s="1"/>
      <c r="W2" s="1"/>
      <c r="X2" s="1"/>
      <c r="Y2" s="3"/>
      <c r="Z2" s="1"/>
      <c r="AA2" s="1"/>
      <c r="AB2" s="1"/>
      <c r="AC2" s="1"/>
      <c r="AD2" s="1"/>
      <c r="AE2" s="1"/>
      <c r="AF2" s="1"/>
      <c r="AG2" s="1"/>
      <c r="AH2" s="3"/>
      <c r="AI2" s="3"/>
      <c r="AJ2" s="1"/>
      <c r="AK2" s="1"/>
      <c r="AL2" s="1"/>
      <c r="AM2" s="1"/>
      <c r="AN2" s="1"/>
      <c r="AO2" s="1"/>
      <c r="AP2" s="1"/>
      <c r="AQ2" s="1"/>
      <c r="AR2" s="1"/>
      <c r="AS2" s="1"/>
      <c r="AT2" s="1"/>
      <c r="AU2" s="1"/>
      <c r="AV2" s="1"/>
    </row>
    <row r="3" spans="1:48" ht="20" customHeight="1" x14ac:dyDescent="0.45">
      <c r="B3" s="575" t="s">
        <v>0</v>
      </c>
      <c r="C3" s="576"/>
      <c r="D3" s="576"/>
      <c r="E3" s="576"/>
      <c r="F3" s="576"/>
      <c r="G3" s="576"/>
      <c r="H3" s="576"/>
      <c r="I3" s="576"/>
      <c r="J3" s="39"/>
      <c r="K3" s="569" t="s">
        <v>239</v>
      </c>
      <c r="L3" s="569"/>
      <c r="M3" s="569"/>
      <c r="N3" s="569"/>
      <c r="O3" s="569"/>
      <c r="P3" s="569"/>
      <c r="Q3" s="39"/>
      <c r="R3" s="39"/>
      <c r="S3" s="39"/>
      <c r="Z3" s="39"/>
      <c r="AA3" s="39"/>
      <c r="AB3" s="39"/>
      <c r="AC3" s="39"/>
      <c r="AD3" s="39"/>
      <c r="AE3" s="39"/>
      <c r="AF3" s="39"/>
      <c r="AG3" s="39"/>
    </row>
    <row r="4" spans="1:48" ht="22" x14ac:dyDescent="0.35">
      <c r="B4" s="39"/>
      <c r="C4" s="39"/>
      <c r="D4" s="39"/>
      <c r="E4" s="50" t="s">
        <v>84</v>
      </c>
      <c r="F4" s="50" t="s">
        <v>418</v>
      </c>
      <c r="G4" s="50" t="s">
        <v>1</v>
      </c>
      <c r="H4" s="50" t="s">
        <v>406</v>
      </c>
      <c r="I4" s="50" t="s">
        <v>2</v>
      </c>
      <c r="J4" s="39"/>
      <c r="K4" s="39"/>
      <c r="L4" s="39"/>
      <c r="M4" s="39"/>
      <c r="N4" s="39"/>
      <c r="O4" s="39"/>
      <c r="P4" s="39"/>
      <c r="Q4" s="39"/>
      <c r="R4" s="39"/>
      <c r="S4" s="39"/>
      <c r="Z4" s="39"/>
      <c r="AA4" s="39"/>
      <c r="AB4" s="39"/>
      <c r="AC4" s="39"/>
      <c r="AD4" s="39"/>
      <c r="AE4" s="39"/>
      <c r="AF4" s="39"/>
      <c r="AG4" s="39"/>
    </row>
    <row r="5" spans="1:48" x14ac:dyDescent="0.35">
      <c r="B5" s="9">
        <v>1</v>
      </c>
      <c r="C5" s="874" t="s">
        <v>770</v>
      </c>
      <c r="D5" s="875"/>
      <c r="E5" s="750">
        <f>Lähtötiedot!C8</f>
        <v>20</v>
      </c>
      <c r="F5" s="36">
        <f>Lähtötiedot!G8</f>
        <v>6000</v>
      </c>
      <c r="G5" s="36">
        <f t="shared" ref="G5:G10" si="0">E5*F5</f>
        <v>120000</v>
      </c>
      <c r="H5" s="53">
        <f>IF(E5=0,0,Energiantarve!O11)</f>
        <v>56407.14263249292</v>
      </c>
      <c r="I5" s="768">
        <f>Energiantarve!P11</f>
        <v>1128142.8526498585</v>
      </c>
      <c r="J5" s="39"/>
      <c r="K5" s="236" t="str">
        <f>IF(E5=0,"_","Myyntiin")</f>
        <v>Myyntiin</v>
      </c>
      <c r="L5" s="751">
        <f>IF(E5=0,"_",Energiantarve!I5)</f>
        <v>120000</v>
      </c>
      <c r="M5" s="41" t="str">
        <f>IF(E5=0,"_","litraa maitoa vuodessa, kun muun käytön osuus on")</f>
        <v>litraa maitoa vuodessa, kun muun käytön osuus on</v>
      </c>
      <c r="N5" s="41"/>
      <c r="O5" s="41"/>
      <c r="P5" s="752">
        <f>IF(E5=0,"_",Energiantarve!K5)</f>
        <v>-3.099999999999992E-2</v>
      </c>
      <c r="Q5" s="39"/>
      <c r="R5" s="39"/>
      <c r="S5" s="39"/>
      <c r="Z5" s="39"/>
      <c r="AA5" s="39"/>
      <c r="AB5" s="39"/>
      <c r="AC5" s="39"/>
      <c r="AD5" s="39"/>
      <c r="AE5" s="39"/>
      <c r="AF5" s="39"/>
      <c r="AG5" s="39"/>
    </row>
    <row r="6" spans="1:48" x14ac:dyDescent="0.35">
      <c r="B6" s="9">
        <v>2</v>
      </c>
      <c r="C6" s="874" t="s">
        <v>771</v>
      </c>
      <c r="D6" s="875"/>
      <c r="E6" s="215">
        <f>Energiantarve!E14</f>
        <v>4</v>
      </c>
      <c r="F6" s="36">
        <v>1</v>
      </c>
      <c r="G6" s="36">
        <f t="shared" si="0"/>
        <v>4</v>
      </c>
      <c r="H6" s="53">
        <f>IF(E6=0,0,Energiantarve!O17/(Energiantarve!I14/365))</f>
        <v>27081.950718685832</v>
      </c>
      <c r="I6" s="768">
        <f>Energiantarve!P17</f>
        <v>216804</v>
      </c>
      <c r="J6" s="39"/>
      <c r="K6" s="291"/>
      <c r="L6" s="38"/>
      <c r="M6" s="235" t="str">
        <f>IF(E6=0,"_",CONCATENATE(E6,"  hiehoa uudistukseen tarkoittaa yht. noin"))</f>
        <v>4  hiehoa uudistukseen tarkoittaa yht. noin</v>
      </c>
      <c r="N6" s="40">
        <f>IF(E6=0,"_",E5*Energiantarve!H14/12*Energiantarve!M5)</f>
        <v>8</v>
      </c>
      <c r="O6" s="38" t="str">
        <f>IF(E6=0,"_","kpl uudistushiehokarjaa")</f>
        <v>kpl uudistushiehokarjaa</v>
      </c>
      <c r="P6" s="38"/>
      <c r="Q6" s="39"/>
      <c r="R6" s="39"/>
      <c r="S6" s="39"/>
      <c r="Z6" s="39"/>
      <c r="AA6" s="39"/>
      <c r="AB6" s="39"/>
      <c r="AC6" s="39"/>
      <c r="AD6" s="39"/>
      <c r="AE6" s="39"/>
      <c r="AF6" s="39"/>
      <c r="AG6" s="39"/>
    </row>
    <row r="7" spans="1:48" x14ac:dyDescent="0.35">
      <c r="B7" s="9">
        <v>3</v>
      </c>
      <c r="C7" s="874" t="s">
        <v>3</v>
      </c>
      <c r="D7" s="875"/>
      <c r="E7" s="750">
        <f>Lähtötiedot!C9</f>
        <v>0</v>
      </c>
      <c r="F7" s="727">
        <f>IF(Lähtötiedot!C9=0,0,Lähtötiedot!H9/Lähtötiedot!C9)</f>
        <v>0</v>
      </c>
      <c r="G7" s="36">
        <f t="shared" si="0"/>
        <v>0</v>
      </c>
      <c r="H7" s="53">
        <f>IF(E7=0,0,Energiantarve!O23)</f>
        <v>0</v>
      </c>
      <c r="I7" s="768">
        <f>Energiantarve!P23</f>
        <v>0</v>
      </c>
      <c r="J7" s="39"/>
      <c r="K7" s="236"/>
      <c r="L7" s="236"/>
      <c r="M7" s="236" t="str">
        <f>IF(E7=0,"_","Tuotetaan yhteensä pihvivasikoita vuodessa")</f>
        <v>_</v>
      </c>
      <c r="N7" s="238" t="str">
        <f>IF(E7=0,"_",G7)</f>
        <v>_</v>
      </c>
      <c r="O7" s="237" t="str">
        <f>IF(E7=0,"_","kpl")</f>
        <v>_</v>
      </c>
      <c r="P7" s="236"/>
      <c r="Q7" s="39"/>
      <c r="R7" s="39"/>
      <c r="S7" s="39"/>
      <c r="Z7" s="39"/>
      <c r="AA7" s="39"/>
      <c r="AB7" s="39"/>
      <c r="AC7" s="39"/>
      <c r="AD7" s="39"/>
      <c r="AE7" s="39"/>
      <c r="AF7" s="39"/>
      <c r="AG7" s="39"/>
    </row>
    <row r="8" spans="1:48" x14ac:dyDescent="0.35">
      <c r="B8" s="9">
        <v>4</v>
      </c>
      <c r="C8" s="874" t="s">
        <v>771</v>
      </c>
      <c r="D8" s="875"/>
      <c r="E8" s="215">
        <f>Energiantarve!E26</f>
        <v>0</v>
      </c>
      <c r="F8" s="36">
        <v>1</v>
      </c>
      <c r="G8" s="36">
        <f t="shared" si="0"/>
        <v>0</v>
      </c>
      <c r="H8" s="53">
        <f>IF(E8=0,0,Energiantarve!O29/(Energiantarve!I26/365))</f>
        <v>0</v>
      </c>
      <c r="I8" s="768">
        <f>Energiantarve!P29</f>
        <v>0</v>
      </c>
      <c r="J8" s="39"/>
      <c r="K8" s="291"/>
      <c r="L8" s="38"/>
      <c r="M8" s="235" t="str">
        <f>IF(E8=0,"_",CONCATENATE(E8,"  hiehoa uudistukseen tarkoittaa yht. noin"))</f>
        <v>_</v>
      </c>
      <c r="N8" s="40" t="str">
        <f>IF(E8=0,"_",E7*Energiantarve!H26/12*Energiantarve!L20)</f>
        <v>_</v>
      </c>
      <c r="O8" s="38" t="str">
        <f>IF(E8=0,"_","kpl uudistushiehokarjaa")</f>
        <v>_</v>
      </c>
      <c r="P8" s="38"/>
      <c r="Q8" s="39"/>
      <c r="R8" s="39"/>
      <c r="S8" s="39"/>
      <c r="Z8" s="39"/>
      <c r="AA8" s="39"/>
      <c r="AB8" s="39"/>
      <c r="AC8" s="39"/>
      <c r="AD8" s="39"/>
      <c r="AE8" s="39"/>
      <c r="AF8" s="39"/>
      <c r="AG8" s="39"/>
    </row>
    <row r="9" spans="1:48" x14ac:dyDescent="0.35">
      <c r="B9" s="9">
        <v>5</v>
      </c>
      <c r="C9" s="874" t="s">
        <v>4</v>
      </c>
      <c r="D9" s="875"/>
      <c r="E9" s="750">
        <f>Lähtötiedot!C10</f>
        <v>8</v>
      </c>
      <c r="F9" s="36">
        <f>Lähtötiedot!G10</f>
        <v>244</v>
      </c>
      <c r="G9" s="36">
        <f t="shared" si="0"/>
        <v>1952</v>
      </c>
      <c r="H9" s="53">
        <f>IF(E9=0,0,Energiantarve!O35/(Energiantarve!K32/365))</f>
        <v>34461.840000000004</v>
      </c>
      <c r="I9" s="768">
        <f>Energiantarve!P35</f>
        <v>498516.48000000004</v>
      </c>
      <c r="J9" s="39"/>
      <c r="K9" s="236"/>
      <c r="L9" s="41"/>
      <c r="M9" s="236" t="str">
        <f>IF(E9=0,"_",CONCATENATE(E9," lihasonnia teuraaksi vuodessa tarkoittaa noin"))</f>
        <v>8 lihasonnia teuraaksi vuodessa tarkoittaa noin</v>
      </c>
      <c r="N9" s="42">
        <f>IF(E9=0,"_",E9*Energiantarve!J32/12)</f>
        <v>14.666666666666666</v>
      </c>
      <c r="O9" s="41" t="str">
        <f>IF(E9=0,"_","kpl lihasonnikarjaa")</f>
        <v>kpl lihasonnikarjaa</v>
      </c>
      <c r="P9" s="41"/>
      <c r="Q9" s="39"/>
      <c r="R9" s="39"/>
      <c r="S9" s="39"/>
      <c r="Z9" s="39"/>
      <c r="AA9" s="39"/>
      <c r="AB9" s="39"/>
      <c r="AC9" s="39"/>
      <c r="AD9" s="39"/>
      <c r="AE9" s="39"/>
      <c r="AF9" s="39"/>
      <c r="AG9" s="39"/>
    </row>
    <row r="10" spans="1:48" x14ac:dyDescent="0.35">
      <c r="B10" s="9">
        <v>6</v>
      </c>
      <c r="C10" s="874" t="s">
        <v>5</v>
      </c>
      <c r="D10" s="875"/>
      <c r="E10" s="750">
        <f>Lähtötiedot!C11</f>
        <v>6</v>
      </c>
      <c r="F10" s="36">
        <f>Lähtötiedot!G11</f>
        <v>184</v>
      </c>
      <c r="G10" s="36">
        <f t="shared" si="0"/>
        <v>1104</v>
      </c>
      <c r="H10" s="53">
        <f>IF(E10=0,0,Energiantarve!O41/(Energiantarve!K38/365))</f>
        <v>21343.958999999995</v>
      </c>
      <c r="I10" s="769">
        <f>Energiantarve!P41</f>
        <v>263144.69999999995</v>
      </c>
      <c r="J10" s="39"/>
      <c r="K10" s="291"/>
      <c r="L10" s="38"/>
      <c r="M10" s="235" t="str">
        <f>IF(E10=0,"_",CONCATENATE(E10," lihahiehoja teuraaksi vuodessa tarkoittaa noin"))</f>
        <v>6 lihahiehoja teuraaksi vuodessa tarkoittaa noin</v>
      </c>
      <c r="N10" s="40">
        <f>IF(E10=0,"_",E10*Energiantarve!J38/12)</f>
        <v>12.5</v>
      </c>
      <c r="O10" s="38" t="str">
        <f>IF(E10=0,"_","kpl lihahiehokarjaa")</f>
        <v>kpl lihahiehokarjaa</v>
      </c>
      <c r="P10" s="38"/>
      <c r="Q10" s="39"/>
      <c r="R10" s="39"/>
      <c r="S10" s="39"/>
      <c r="Z10" s="39"/>
      <c r="AA10" s="39"/>
      <c r="AB10" s="39"/>
      <c r="AC10" s="39"/>
      <c r="AD10" s="39"/>
      <c r="AE10" s="39"/>
      <c r="AF10" s="39"/>
      <c r="AG10" s="39"/>
    </row>
    <row r="11" spans="1:48" ht="15" thickBot="1" x14ac:dyDescent="0.4">
      <c r="B11" s="9">
        <v>7</v>
      </c>
      <c r="C11" s="874" t="s">
        <v>403</v>
      </c>
      <c r="D11" s="875"/>
      <c r="E11" s="750">
        <f>Lähtötiedot!C12</f>
        <v>0</v>
      </c>
      <c r="F11" s="753"/>
      <c r="G11" s="39"/>
      <c r="H11" s="53">
        <f>IF(E11=0,0,Energiantarve!O47)</f>
        <v>0</v>
      </c>
      <c r="I11" s="769">
        <f>Energiantarve!P47</f>
        <v>0</v>
      </c>
      <c r="J11" s="39"/>
      <c r="K11" s="236"/>
      <c r="L11" s="41"/>
      <c r="M11" s="236" t="str">
        <f>IF(E11=0,"_",CONCATENATE(E11," kpl siitossonneja, joiden keskim. käyttöikä on"))</f>
        <v>_</v>
      </c>
      <c r="N11" s="754" t="str">
        <f>IF(E11=0,"_",Energiantarve!H44)</f>
        <v>_</v>
      </c>
      <c r="O11" s="237" t="str">
        <f>IF(E11=0,"_","vuotta")</f>
        <v>_</v>
      </c>
      <c r="P11" s="41"/>
      <c r="Q11" s="39"/>
      <c r="R11" s="39"/>
      <c r="S11" s="39"/>
      <c r="Z11" s="39"/>
      <c r="AA11" s="39"/>
      <c r="AB11" s="39"/>
      <c r="AC11" s="39"/>
      <c r="AD11" s="39"/>
      <c r="AE11" s="39"/>
      <c r="AF11" s="39"/>
      <c r="AG11" s="39"/>
    </row>
    <row r="12" spans="1:48" ht="15" thickBot="1" x14ac:dyDescent="0.4">
      <c r="B12" s="39"/>
      <c r="C12" s="39"/>
      <c r="D12" s="39"/>
      <c r="E12" s="39"/>
      <c r="F12" s="39"/>
      <c r="G12" s="39"/>
      <c r="H12" s="39"/>
      <c r="I12" s="770">
        <f>SUM(I5:I11)</f>
        <v>2106608.0326498584</v>
      </c>
      <c r="J12" s="39"/>
      <c r="K12" s="39"/>
      <c r="L12" s="39"/>
      <c r="M12" s="39"/>
      <c r="N12" s="39"/>
      <c r="O12" s="39"/>
      <c r="P12" s="39"/>
      <c r="Q12" s="39"/>
      <c r="R12" s="39"/>
      <c r="S12" s="39"/>
      <c r="Z12" s="39"/>
      <c r="AA12" s="39"/>
      <c r="AB12" s="39"/>
      <c r="AC12" s="39"/>
      <c r="AD12" s="39"/>
      <c r="AE12" s="39"/>
      <c r="AF12" s="39"/>
      <c r="AG12" s="39"/>
    </row>
    <row r="13" spans="1:48" x14ac:dyDescent="0.35">
      <c r="B13" s="39"/>
      <c r="C13" s="39"/>
      <c r="D13" s="39"/>
      <c r="E13" s="39"/>
      <c r="F13" s="39"/>
      <c r="G13" s="39"/>
      <c r="H13" s="39"/>
      <c r="I13" s="730"/>
      <c r="J13" s="39"/>
      <c r="K13" s="39"/>
      <c r="L13" s="39"/>
      <c r="M13" s="39"/>
      <c r="N13" s="39"/>
      <c r="O13" s="39"/>
      <c r="P13" s="39"/>
      <c r="Q13" s="39"/>
      <c r="R13" s="39"/>
      <c r="S13" s="39"/>
      <c r="Z13" s="39"/>
      <c r="AA13" s="39"/>
      <c r="AB13" s="39"/>
      <c r="AC13" s="39"/>
      <c r="AD13" s="39"/>
      <c r="AE13" s="39"/>
      <c r="AF13" s="39"/>
      <c r="AG13" s="39"/>
    </row>
    <row r="14" spans="1:48" ht="20" customHeight="1" thickBot="1" x14ac:dyDescent="0.5">
      <c r="B14" s="726" t="s">
        <v>460</v>
      </c>
      <c r="C14" s="574"/>
      <c r="D14" s="574"/>
      <c r="E14" s="574"/>
      <c r="F14" s="574"/>
      <c r="G14" s="574"/>
      <c r="H14" s="574"/>
      <c r="I14" s="574"/>
      <c r="J14" s="39"/>
      <c r="K14" s="569" t="s">
        <v>250</v>
      </c>
      <c r="L14" s="569"/>
      <c r="M14" s="569"/>
      <c r="N14" s="569"/>
      <c r="O14" s="569"/>
      <c r="P14" s="569"/>
      <c r="Q14" s="184" t="s">
        <v>249</v>
      </c>
      <c r="R14" s="220">
        <f>ROUNDUP(R18,-2)</f>
        <v>9700</v>
      </c>
      <c r="S14" s="184"/>
      <c r="Z14" s="39"/>
      <c r="AA14" s="39"/>
      <c r="AB14" s="39"/>
      <c r="AC14" s="39"/>
      <c r="AD14" s="39"/>
      <c r="AE14" s="39"/>
      <c r="AF14" s="39"/>
      <c r="AG14" s="39"/>
    </row>
    <row r="15" spans="1:48" ht="21.5" thickBot="1" x14ac:dyDescent="0.4">
      <c r="B15" s="39"/>
      <c r="C15" s="39"/>
      <c r="D15" s="39"/>
      <c r="E15" s="50" t="s">
        <v>6</v>
      </c>
      <c r="F15" s="755" t="s">
        <v>249</v>
      </c>
      <c r="G15" s="653" t="s">
        <v>1</v>
      </c>
      <c r="H15" s="653" t="s">
        <v>407</v>
      </c>
      <c r="I15" s="653" t="s">
        <v>7</v>
      </c>
      <c r="J15" s="39"/>
      <c r="K15" s="857" t="s">
        <v>241</v>
      </c>
      <c r="L15" s="858"/>
      <c r="M15" s="864">
        <f>IF(Rehuntuotanto!J7=0,0,ROUNDUP(M18,-2))</f>
        <v>8200</v>
      </c>
      <c r="N15" s="867" t="s">
        <v>240</v>
      </c>
      <c r="O15" s="870" t="s">
        <v>247</v>
      </c>
      <c r="P15" s="871">
        <f>IF(F17=0,0,IF(E16=0,0,IF((F17-M15)/F17&lt;0,"?",(F17-M15)/F17)))</f>
        <v>0.15463917525773196</v>
      </c>
      <c r="Q15" s="184" t="s">
        <v>237</v>
      </c>
      <c r="R15" s="184"/>
      <c r="S15" s="220">
        <f>ROUNDUP(S19,-2)</f>
        <v>8200</v>
      </c>
      <c r="Z15" s="39"/>
      <c r="AA15" s="39"/>
      <c r="AB15" s="39"/>
      <c r="AC15" s="39"/>
      <c r="AD15" s="39"/>
      <c r="AE15" s="39"/>
      <c r="AF15" s="39"/>
      <c r="AG15" s="39"/>
    </row>
    <row r="16" spans="1:48" ht="15.75" customHeight="1" thickTop="1" x14ac:dyDescent="0.35">
      <c r="B16" s="77" t="s">
        <v>356</v>
      </c>
      <c r="C16" s="39"/>
      <c r="D16" s="39"/>
      <c r="E16" s="733">
        <f>SUM(E17:E21)</f>
        <v>29</v>
      </c>
      <c r="F16" s="653" t="s">
        <v>352</v>
      </c>
      <c r="G16" s="653" t="s">
        <v>44</v>
      </c>
      <c r="H16" s="653" t="s">
        <v>353</v>
      </c>
      <c r="I16" s="653" t="s">
        <v>8</v>
      </c>
      <c r="J16" s="39"/>
      <c r="K16" s="859"/>
      <c r="L16" s="860"/>
      <c r="M16" s="865"/>
      <c r="N16" s="868"/>
      <c r="O16" s="870"/>
      <c r="P16" s="872"/>
      <c r="Q16" s="184" t="s">
        <v>236</v>
      </c>
      <c r="R16" s="184"/>
      <c r="S16" s="220">
        <f>R14-S15</f>
        <v>1500</v>
      </c>
      <c r="Z16" s="39"/>
      <c r="AA16" s="39"/>
      <c r="AB16" s="39"/>
      <c r="AC16" s="39"/>
      <c r="AD16" s="39"/>
      <c r="AE16" s="39"/>
      <c r="AF16" s="39"/>
      <c r="AG16" s="39"/>
    </row>
    <row r="17" spans="2:33" ht="16.5" customHeight="1" thickBot="1" x14ac:dyDescent="0.4">
      <c r="B17" s="243" t="s">
        <v>421</v>
      </c>
      <c r="C17" s="735" t="s">
        <v>9</v>
      </c>
      <c r="D17" s="736"/>
      <c r="E17" s="756">
        <f>Lähtötiedot!C33</f>
        <v>20</v>
      </c>
      <c r="F17" s="16">
        <f>Rehuntuotanto!I7</f>
        <v>9700</v>
      </c>
      <c r="G17" s="36">
        <f>E17*F17</f>
        <v>194000</v>
      </c>
      <c r="H17" s="36">
        <f>Rehuntuotanto!K7</f>
        <v>107980</v>
      </c>
      <c r="I17" s="768">
        <f>H17*E17</f>
        <v>2159600</v>
      </c>
      <c r="J17" s="39"/>
      <c r="K17" s="861"/>
      <c r="L17" s="862"/>
      <c r="M17" s="866"/>
      <c r="N17" s="869"/>
      <c r="O17" s="870"/>
      <c r="P17" s="873"/>
      <c r="Q17" s="184"/>
      <c r="R17" s="184"/>
      <c r="S17" s="184"/>
      <c r="Z17" s="39"/>
      <c r="AA17" s="39"/>
      <c r="AB17" s="39"/>
      <c r="AC17" s="39"/>
      <c r="AD17" s="39"/>
      <c r="AE17" s="39"/>
      <c r="AF17" s="39"/>
      <c r="AG17" s="39"/>
    </row>
    <row r="18" spans="2:33" ht="15" customHeight="1" x14ac:dyDescent="0.35">
      <c r="B18" s="243" t="s">
        <v>422</v>
      </c>
      <c r="C18" s="735" t="s">
        <v>10</v>
      </c>
      <c r="D18" s="736"/>
      <c r="E18" s="756">
        <f>Lähtötiedot!C34</f>
        <v>0</v>
      </c>
      <c r="F18" s="16">
        <f>Rehuntuotanto!I29</f>
        <v>0</v>
      </c>
      <c r="G18" s="36">
        <f>E18*F18</f>
        <v>0</v>
      </c>
      <c r="H18" s="36">
        <f>Rehuntuotanto!K29</f>
        <v>0</v>
      </c>
      <c r="I18" s="768">
        <f>H18*E18</f>
        <v>0</v>
      </c>
      <c r="J18" s="39"/>
      <c r="K18" s="39"/>
      <c r="L18" s="39"/>
      <c r="M18" s="184">
        <f>IF(E16=0,0,IF(E17=0,"Säilörehuala?",(I12-I18-I19-I20-I21-I26-I27+I34)/Rehuntuotanto!J7/E17))</f>
        <v>8156.731763615312</v>
      </c>
      <c r="N18" s="39"/>
      <c r="O18" s="39"/>
      <c r="P18" s="39"/>
      <c r="Q18" s="184" t="s">
        <v>249</v>
      </c>
      <c r="R18" s="757">
        <f>F17</f>
        <v>9700</v>
      </c>
      <c r="S18" s="757"/>
      <c r="Z18" s="39"/>
      <c r="AA18" s="39"/>
      <c r="AB18" s="39"/>
      <c r="AC18" s="39"/>
      <c r="AD18" s="39"/>
      <c r="AE18" s="39"/>
      <c r="AF18" s="39"/>
      <c r="AG18" s="39"/>
    </row>
    <row r="19" spans="2:33" ht="15.5" x14ac:dyDescent="0.35">
      <c r="B19" s="243" t="s">
        <v>423</v>
      </c>
      <c r="C19" s="735" t="s">
        <v>48</v>
      </c>
      <c r="D19" s="736"/>
      <c r="E19" s="756">
        <f>Lähtötiedot!C35</f>
        <v>0</v>
      </c>
      <c r="F19" s="16">
        <f>Rehuntuotanto!I36</f>
        <v>0</v>
      </c>
      <c r="G19" s="36">
        <f>E19*F19</f>
        <v>0</v>
      </c>
      <c r="H19" s="36">
        <f>Rehuntuotanto!K36</f>
        <v>0</v>
      </c>
      <c r="I19" s="768">
        <f>H19*E19</f>
        <v>0</v>
      </c>
      <c r="J19" s="39"/>
      <c r="K19" s="88" t="s">
        <v>12</v>
      </c>
      <c r="L19" s="88"/>
      <c r="M19" s="88"/>
      <c r="N19" s="88"/>
      <c r="O19" s="88"/>
      <c r="P19" s="88"/>
      <c r="Q19" s="184" t="s">
        <v>237</v>
      </c>
      <c r="R19" s="757"/>
      <c r="S19" s="757">
        <f>M15</f>
        <v>8200</v>
      </c>
      <c r="U19" s="49" t="str">
        <f>VLOOKUP(K20,V20:W25,2,TRUE)</f>
        <v>hyvä</v>
      </c>
      <c r="V19" s="44" t="s">
        <v>11</v>
      </c>
      <c r="Z19" s="39"/>
      <c r="AA19" s="39"/>
      <c r="AB19" s="39"/>
      <c r="AC19" s="39"/>
      <c r="AD19" s="39"/>
      <c r="AE19" s="39"/>
      <c r="AF19" s="39"/>
      <c r="AG19" s="39"/>
    </row>
    <row r="20" spans="2:33" x14ac:dyDescent="0.35">
      <c r="B20" s="243" t="s">
        <v>424</v>
      </c>
      <c r="C20" s="735" t="s">
        <v>46</v>
      </c>
      <c r="D20" s="736"/>
      <c r="E20" s="756">
        <f>Lähtötiedot!C36</f>
        <v>5</v>
      </c>
      <c r="F20" s="16">
        <f>Rehuntuotanto!I43</f>
        <v>2000</v>
      </c>
      <c r="G20" s="36">
        <f>E20*F20</f>
        <v>10000</v>
      </c>
      <c r="H20" s="36">
        <f>Rehuntuotanto!K43</f>
        <v>22000</v>
      </c>
      <c r="I20" s="768">
        <f>H20*E20</f>
        <v>110000</v>
      </c>
      <c r="J20" s="39"/>
      <c r="K20" s="90">
        <f>M15</f>
        <v>8200</v>
      </c>
      <c r="L20" s="863" t="str">
        <f>CONCATENATE(N15," on ",U19," ",V19)</f>
        <v>kg ka 
/ ha on hyvä säilörehun nettosato</v>
      </c>
      <c r="M20" s="863"/>
      <c r="N20" s="863"/>
      <c r="O20" s="863"/>
      <c r="P20" s="863"/>
      <c r="Q20" s="184" t="s">
        <v>236</v>
      </c>
      <c r="R20" s="757"/>
      <c r="S20" s="757">
        <f>R18-S19</f>
        <v>1500</v>
      </c>
      <c r="V20" s="44">
        <v>0</v>
      </c>
      <c r="W20" s="44" t="s">
        <v>13</v>
      </c>
      <c r="Z20" s="39"/>
      <c r="AA20" s="39"/>
      <c r="AB20" s="39"/>
      <c r="AC20" s="39"/>
      <c r="AD20" s="39"/>
      <c r="AE20" s="39"/>
      <c r="AF20" s="39"/>
      <c r="AG20" s="39"/>
    </row>
    <row r="21" spans="2:33" ht="15" customHeight="1" thickBot="1" x14ac:dyDescent="0.4">
      <c r="B21" s="243" t="s">
        <v>425</v>
      </c>
      <c r="C21" s="735" t="s">
        <v>348</v>
      </c>
      <c r="D21" s="736"/>
      <c r="E21" s="758">
        <f>Lähtötiedot!C37</f>
        <v>4</v>
      </c>
      <c r="F21" s="16">
        <f>Rehuntuotanto!I50</f>
        <v>4300</v>
      </c>
      <c r="G21" s="36">
        <f>E21*F21</f>
        <v>17200</v>
      </c>
      <c r="H21" s="36">
        <f>Rehuntuotanto!K50</f>
        <v>45150</v>
      </c>
      <c r="I21" s="768">
        <f>H21*E21</f>
        <v>180600</v>
      </c>
      <c r="J21" s="39"/>
      <c r="K21" s="91">
        <f>IF(E16=0,0,P15)</f>
        <v>0.15463917525773196</v>
      </c>
      <c r="L21" s="863" t="str">
        <f>IF(E16=0,0,IF(M15&gt;F17,"Tarkista rehunkäyttö tai säilörehun bruttosato!",CONCATENATE(V27," on ",U27)))</f>
        <v>säilörehun hävikki on normaalia korkeampi</v>
      </c>
      <c r="M21" s="863"/>
      <c r="N21" s="863"/>
      <c r="O21" s="863"/>
      <c r="P21" s="863"/>
      <c r="Q21" s="39"/>
      <c r="R21" s="39"/>
      <c r="S21" s="39"/>
      <c r="V21" s="44">
        <v>5000</v>
      </c>
      <c r="W21" s="44" t="s">
        <v>15</v>
      </c>
      <c r="Z21" s="39"/>
      <c r="AA21" s="39"/>
      <c r="AB21" s="39"/>
      <c r="AC21" s="39"/>
      <c r="AD21" s="39"/>
      <c r="AE21" s="39"/>
      <c r="AF21" s="39"/>
      <c r="AG21" s="39"/>
    </row>
    <row r="22" spans="2:33" ht="15" customHeight="1" thickTop="1" thickBot="1" x14ac:dyDescent="0.4">
      <c r="B22" s="39" t="s">
        <v>14</v>
      </c>
      <c r="C22" s="39"/>
      <c r="D22" s="39"/>
      <c r="E22" s="759">
        <f>Lähtötiedot!C38</f>
        <v>0</v>
      </c>
      <c r="F22" s="39"/>
      <c r="G22" s="743"/>
      <c r="H22" s="39"/>
      <c r="I22" s="39"/>
      <c r="J22" s="39"/>
      <c r="K22" s="253"/>
      <c r="L22" s="88"/>
      <c r="M22" s="88"/>
      <c r="N22" s="88"/>
      <c r="O22" s="88"/>
      <c r="P22" s="88"/>
      <c r="Q22" s="39"/>
      <c r="R22" s="39"/>
      <c r="S22" s="39"/>
      <c r="V22" s="44">
        <v>6000</v>
      </c>
      <c r="W22" s="44" t="s">
        <v>17</v>
      </c>
      <c r="Z22" s="39"/>
      <c r="AA22" s="39"/>
      <c r="AB22" s="39"/>
      <c r="AC22" s="39"/>
      <c r="AD22" s="39"/>
      <c r="AE22" s="39"/>
      <c r="AF22" s="39"/>
      <c r="AG22" s="39"/>
    </row>
    <row r="23" spans="2:33" ht="15" thickBot="1" x14ac:dyDescent="0.4">
      <c r="B23" s="39" t="s">
        <v>16</v>
      </c>
      <c r="C23" s="39"/>
      <c r="D23" s="39"/>
      <c r="E23" s="428">
        <f>E22+E16</f>
        <v>29</v>
      </c>
      <c r="F23" s="39"/>
      <c r="G23" s="39"/>
      <c r="H23" s="39"/>
      <c r="I23" s="39"/>
      <c r="J23" s="39"/>
      <c r="K23" s="184">
        <f>E26/1000</f>
        <v>0</v>
      </c>
      <c r="L23" s="298">
        <f>ROUNDUP(K23,0)</f>
        <v>0</v>
      </c>
      <c r="M23" s="184"/>
      <c r="N23" s="184"/>
      <c r="O23" s="184"/>
      <c r="P23" s="184"/>
      <c r="Q23" s="39"/>
      <c r="R23" s="39"/>
      <c r="S23" s="39"/>
      <c r="V23" s="44">
        <v>8000</v>
      </c>
      <c r="W23" s="44" t="s">
        <v>18</v>
      </c>
      <c r="Z23" s="39"/>
      <c r="AA23" s="39"/>
      <c r="AB23" s="39"/>
      <c r="AC23" s="39"/>
      <c r="AD23" s="39"/>
      <c r="AE23" s="39"/>
      <c r="AF23" s="39"/>
      <c r="AG23" s="39"/>
    </row>
    <row r="24" spans="2:33" x14ac:dyDescent="0.35">
      <c r="B24" s="39"/>
      <c r="C24" s="39"/>
      <c r="D24" s="39"/>
      <c r="E24" s="760"/>
      <c r="F24" s="39"/>
      <c r="G24" s="39"/>
      <c r="H24" s="39"/>
      <c r="I24" s="39"/>
      <c r="J24" s="39"/>
      <c r="K24" s="298">
        <f>IF(Rehuntuotanto!G29=0,E26/3500,E26/Rehuntuotanto!G29)</f>
        <v>0</v>
      </c>
      <c r="L24" s="298">
        <f>ROUNDUP(K24,1)</f>
        <v>0</v>
      </c>
      <c r="M24" s="761">
        <f>E28/365</f>
        <v>0</v>
      </c>
      <c r="N24" s="298">
        <f>ROUNDUP(M24,1)</f>
        <v>0</v>
      </c>
      <c r="O24" s="762"/>
      <c r="P24" s="184"/>
      <c r="Q24" s="39"/>
      <c r="R24" s="39"/>
      <c r="S24" s="39"/>
      <c r="V24" s="44">
        <v>9000</v>
      </c>
      <c r="W24" s="44" t="s">
        <v>24</v>
      </c>
      <c r="Z24" s="39"/>
      <c r="AA24" s="39"/>
      <c r="AB24" s="39"/>
      <c r="AC24" s="39"/>
      <c r="AD24" s="39"/>
      <c r="AE24" s="39"/>
      <c r="AF24" s="39"/>
      <c r="AG24" s="39"/>
    </row>
    <row r="25" spans="2:33" ht="15" customHeight="1" x14ac:dyDescent="0.35">
      <c r="B25" s="77" t="s">
        <v>47</v>
      </c>
      <c r="C25" s="39"/>
      <c r="D25" s="39"/>
      <c r="E25" s="50" t="s">
        <v>358</v>
      </c>
      <c r="F25" s="50" t="s">
        <v>20</v>
      </c>
      <c r="G25" s="50" t="s">
        <v>21</v>
      </c>
      <c r="H25" s="50" t="s">
        <v>44</v>
      </c>
      <c r="I25" s="75" t="s">
        <v>22</v>
      </c>
      <c r="J25" s="39"/>
      <c r="K25" s="763">
        <f>IF(F17=0,E27/7000,E27/F17)</f>
        <v>0</v>
      </c>
      <c r="L25" s="298">
        <f>ROUNDUP(K25,1)</f>
        <v>0</v>
      </c>
      <c r="M25" s="184">
        <f>E27/1000</f>
        <v>0</v>
      </c>
      <c r="N25" s="298">
        <f>ROUNDUP(M25,0)</f>
        <v>0</v>
      </c>
      <c r="O25" s="184"/>
      <c r="P25" s="184"/>
      <c r="Q25" s="39"/>
      <c r="R25" s="39"/>
      <c r="S25" s="39"/>
      <c r="V25" s="44">
        <v>10000</v>
      </c>
      <c r="W25" s="44" t="s">
        <v>26</v>
      </c>
      <c r="Z25" s="39"/>
      <c r="AA25" s="39"/>
      <c r="AB25" s="39"/>
      <c r="AC25" s="39"/>
      <c r="AD25" s="39"/>
      <c r="AE25" s="39"/>
      <c r="AF25" s="39"/>
      <c r="AG25" s="39"/>
    </row>
    <row r="26" spans="2:33" x14ac:dyDescent="0.35">
      <c r="B26" s="77"/>
      <c r="C26" s="744" t="s">
        <v>357</v>
      </c>
      <c r="D26" s="77"/>
      <c r="E26" s="35"/>
      <c r="F26" s="764">
        <f>Lähtötiedot!C19-F27</f>
        <v>2000</v>
      </c>
      <c r="G26" s="745">
        <f>IF(E26=0,0,F26/E26)</f>
        <v>0</v>
      </c>
      <c r="H26" s="53">
        <f>G40</f>
        <v>0</v>
      </c>
      <c r="I26" s="768">
        <f>I40</f>
        <v>0</v>
      </c>
      <c r="J26" s="39"/>
      <c r="K26" s="239" t="str">
        <f>IF(E26=0,"_",CONCATENATE(C26,L23," tonnia/vuosi"," vastaa noin ",L24," ha rehuviljan tuotantoalaa!"))</f>
        <v>_</v>
      </c>
      <c r="L26" s="765"/>
      <c r="M26" s="765"/>
      <c r="N26" s="765"/>
      <c r="O26" s="37"/>
      <c r="P26" s="37"/>
      <c r="Q26" s="39"/>
      <c r="R26" s="39"/>
      <c r="S26" s="39"/>
      <c r="Z26" s="39"/>
      <c r="AA26" s="39"/>
      <c r="AB26" s="39"/>
      <c r="AC26" s="39"/>
      <c r="AD26" s="39"/>
      <c r="AE26" s="39"/>
      <c r="AF26" s="39"/>
      <c r="AG26" s="39"/>
    </row>
    <row r="27" spans="2:33" x14ac:dyDescent="0.35">
      <c r="B27" s="77"/>
      <c r="C27" s="744" t="s">
        <v>360</v>
      </c>
      <c r="D27" s="39"/>
      <c r="E27" s="35"/>
      <c r="F27" s="35"/>
      <c r="G27" s="745">
        <f>IF(E27=0,0,F27/E27)</f>
        <v>0</v>
      </c>
      <c r="H27" s="53">
        <f>G54</f>
        <v>0</v>
      </c>
      <c r="I27" s="768">
        <f>I54</f>
        <v>0</v>
      </c>
      <c r="J27" s="39"/>
      <c r="K27" s="240" t="str">
        <f>IF(E27=0,"_",CONCATENATE(C27,N25," tonnia ka/vuosi"," vastaa noin ",L25," ha säilörehun tuotantoalaa!"))</f>
        <v>_</v>
      </c>
      <c r="L27" s="654"/>
      <c r="M27" s="654"/>
      <c r="N27" s="654"/>
      <c r="O27" s="39"/>
      <c r="P27" s="39"/>
      <c r="Q27" s="39"/>
      <c r="R27" s="39"/>
      <c r="S27" s="39"/>
      <c r="U27" s="49" t="str">
        <f>VLOOKUP(K21,V28:W33,2,TRUE)</f>
        <v>normaalia korkeampi</v>
      </c>
      <c r="V27" s="44" t="s">
        <v>242</v>
      </c>
      <c r="Z27" s="39"/>
      <c r="AA27" s="39"/>
      <c r="AB27" s="39"/>
      <c r="AC27" s="39"/>
      <c r="AD27" s="39"/>
      <c r="AE27" s="39"/>
      <c r="AF27" s="39"/>
      <c r="AG27" s="39"/>
    </row>
    <row r="28" spans="2:33" x14ac:dyDescent="0.35">
      <c r="B28" s="77"/>
      <c r="C28" s="744" t="s">
        <v>359</v>
      </c>
      <c r="D28" s="77"/>
      <c r="E28" s="35"/>
      <c r="F28" s="764">
        <f>Lähtötiedot!C20</f>
        <v>600</v>
      </c>
      <c r="G28" s="745">
        <f>IF(E28=0,0,F28/E28)</f>
        <v>0</v>
      </c>
      <c r="H28" s="39"/>
      <c r="I28" s="730"/>
      <c r="J28" s="39"/>
      <c r="K28" s="239" t="str">
        <f>IF(E28=0,"_",CONCATENATE(C28,E28,E25," tarkoittaa ","noin ",N24," kg päivässä!"))</f>
        <v>_</v>
      </c>
      <c r="L28" s="765"/>
      <c r="M28" s="765"/>
      <c r="N28" s="765"/>
      <c r="O28" s="37"/>
      <c r="P28" s="37"/>
      <c r="Q28" s="39"/>
      <c r="R28" s="39"/>
      <c r="S28" s="39"/>
      <c r="V28" s="766">
        <v>0</v>
      </c>
      <c r="W28" s="44" t="s">
        <v>246</v>
      </c>
      <c r="Z28" s="39"/>
      <c r="AA28" s="39"/>
      <c r="AB28" s="39"/>
      <c r="AC28" s="39"/>
      <c r="AD28" s="39"/>
      <c r="AE28" s="39"/>
      <c r="AF28" s="39"/>
      <c r="AG28" s="39"/>
    </row>
    <row r="29" spans="2:33" x14ac:dyDescent="0.35">
      <c r="B29" s="77"/>
      <c r="C29" s="77"/>
      <c r="D29" s="39"/>
      <c r="E29" s="39"/>
      <c r="F29" s="39"/>
      <c r="G29" s="623"/>
      <c r="H29" s="39"/>
      <c r="I29" s="730"/>
      <c r="J29" s="39"/>
      <c r="K29" s="184">
        <f>E31/1000</f>
        <v>0</v>
      </c>
      <c r="L29" s="298">
        <f>ROUNDUP(K29,0)</f>
        <v>0</v>
      </c>
      <c r="M29" s="184">
        <f>E32/1000</f>
        <v>0</v>
      </c>
      <c r="N29" s="298">
        <f>ROUNDUP(M29,0)</f>
        <v>0</v>
      </c>
      <c r="O29" s="184">
        <f>E33/1000</f>
        <v>0</v>
      </c>
      <c r="P29" s="298">
        <f>ROUNDUP(O29,0)</f>
        <v>0</v>
      </c>
      <c r="Q29" s="39"/>
      <c r="R29" s="39"/>
      <c r="S29" s="39"/>
      <c r="V29" s="766">
        <v>0.06</v>
      </c>
      <c r="W29" s="44" t="s">
        <v>248</v>
      </c>
      <c r="Z29" s="39"/>
      <c r="AA29" s="39"/>
      <c r="AB29" s="39"/>
      <c r="AC29" s="39"/>
      <c r="AD29" s="39"/>
      <c r="AE29" s="39"/>
      <c r="AF29" s="39"/>
      <c r="AG29" s="39"/>
    </row>
    <row r="30" spans="2:33" ht="15" customHeight="1" x14ac:dyDescent="0.35">
      <c r="B30" s="777" t="s">
        <v>723</v>
      </c>
      <c r="C30" s="39"/>
      <c r="D30" s="39"/>
      <c r="E30" s="50" t="s">
        <v>27</v>
      </c>
      <c r="F30" s="50" t="s">
        <v>20</v>
      </c>
      <c r="G30" s="50" t="s">
        <v>25</v>
      </c>
      <c r="H30" s="39"/>
      <c r="I30" s="75" t="s">
        <v>22</v>
      </c>
      <c r="J30" s="39"/>
      <c r="K30" s="298">
        <f>IF(F17=0,E31/7000,E31/F17)</f>
        <v>0</v>
      </c>
      <c r="L30" s="298">
        <f>ROUNDUP(K30,1)</f>
        <v>0</v>
      </c>
      <c r="M30" s="298">
        <f>IF(Rehuntuotanto!G29=0,E32/3500,E32/Rehuntuotanto!G29)</f>
        <v>0</v>
      </c>
      <c r="N30" s="298">
        <f>ROUNDUP(M30,1)</f>
        <v>0</v>
      </c>
      <c r="O30" s="298">
        <f>IF(Rehuntuotanto!G29=0,E33/3500,E33/Rehuntuotanto!G29)</f>
        <v>0</v>
      </c>
      <c r="P30" s="298">
        <f>ROUNDUP(O30,1)</f>
        <v>0</v>
      </c>
      <c r="Q30" s="39"/>
      <c r="R30" s="39"/>
      <c r="S30" s="39"/>
      <c r="V30" s="766">
        <v>0.08</v>
      </c>
      <c r="W30" s="44" t="s">
        <v>17</v>
      </c>
      <c r="Z30" s="39"/>
      <c r="AA30" s="39"/>
      <c r="AB30" s="39"/>
      <c r="AC30" s="39"/>
      <c r="AD30" s="39"/>
      <c r="AE30" s="39"/>
      <c r="AF30" s="39"/>
      <c r="AG30" s="39"/>
    </row>
    <row r="31" spans="2:33" x14ac:dyDescent="0.35">
      <c r="B31" s="39"/>
      <c r="C31" s="300" t="s">
        <v>724</v>
      </c>
      <c r="D31" s="640"/>
      <c r="E31" s="35"/>
      <c r="F31" s="35"/>
      <c r="G31" s="745">
        <f>IF(E31=0,0,F31/E31)</f>
        <v>0</v>
      </c>
      <c r="H31" s="39"/>
      <c r="I31" s="768">
        <f>E31*Rehuntuotanto!J7</f>
        <v>0</v>
      </c>
      <c r="J31" s="39"/>
      <c r="K31" s="38" t="str">
        <f>IF(E31=0,"_",CONCATENATE(C31,L29," tonnia/vuosi"," vastaa noin ",L30," ha säilörehun tuotantoalaa!"))</f>
        <v>_</v>
      </c>
      <c r="L31" s="39"/>
      <c r="M31" s="39"/>
      <c r="N31" s="39"/>
      <c r="O31" s="39"/>
      <c r="P31" s="39"/>
      <c r="Q31" s="39"/>
      <c r="R31" s="39"/>
      <c r="S31" s="39"/>
      <c r="V31" s="766">
        <v>0.12</v>
      </c>
      <c r="W31" s="44" t="s">
        <v>29</v>
      </c>
      <c r="Z31" s="39"/>
      <c r="AA31" s="39"/>
      <c r="AB31" s="39"/>
      <c r="AC31" s="39"/>
      <c r="AD31" s="39"/>
      <c r="AE31" s="39"/>
      <c r="AF31" s="39"/>
      <c r="AG31" s="39"/>
    </row>
    <row r="32" spans="2:33" x14ac:dyDescent="0.35">
      <c r="B32" s="39"/>
      <c r="C32" s="300" t="s">
        <v>725</v>
      </c>
      <c r="D32" s="640"/>
      <c r="E32" s="35"/>
      <c r="F32" s="35"/>
      <c r="G32" s="745">
        <f>IF(E32=0,0,F32/E32)</f>
        <v>0</v>
      </c>
      <c r="H32" s="39"/>
      <c r="I32" s="768">
        <f>E32*Rehuntuotanto!J29</f>
        <v>0</v>
      </c>
      <c r="J32" s="39"/>
      <c r="K32" s="41" t="str">
        <f>IF(E32=0,"_",CONCATENATE(C32,N29," tonnia/vuosi"," vastaa noin ",N30," ha rehuviljan tuotantoalaa!"))</f>
        <v>_</v>
      </c>
      <c r="L32" s="37"/>
      <c r="M32" s="37"/>
      <c r="N32" s="37"/>
      <c r="O32" s="37"/>
      <c r="P32" s="37"/>
      <c r="Q32" s="39"/>
      <c r="R32" s="39"/>
      <c r="S32" s="39"/>
      <c r="V32" s="766">
        <v>0.15</v>
      </c>
      <c r="W32" s="44" t="s">
        <v>30</v>
      </c>
      <c r="Z32" s="39"/>
      <c r="AA32" s="39"/>
      <c r="AB32" s="39"/>
      <c r="AC32" s="39"/>
      <c r="AD32" s="39"/>
      <c r="AE32" s="39"/>
      <c r="AF32" s="39"/>
      <c r="AG32" s="39"/>
    </row>
    <row r="33" spans="2:33" x14ac:dyDescent="0.35">
      <c r="B33" s="39"/>
      <c r="C33" s="767" t="s">
        <v>419</v>
      </c>
      <c r="D33" s="640"/>
      <c r="E33" s="35"/>
      <c r="F33" s="35"/>
      <c r="G33" s="745">
        <f>IF(E33=0,0,F33/E33)</f>
        <v>0</v>
      </c>
      <c r="H33" s="39"/>
      <c r="I33" s="768">
        <f>E33*Rehuntuotanto!J7</f>
        <v>0</v>
      </c>
      <c r="J33" s="39"/>
      <c r="K33" s="38" t="str">
        <f>IF(E33=0,"_",CONCATENATE(C33,P29," tonnia/vuosi"," vastaa noin ",P30," ha rehuviljan tuotantoalaa!"))</f>
        <v>_</v>
      </c>
      <c r="L33" s="93"/>
      <c r="M33" s="56"/>
      <c r="N33" s="92"/>
      <c r="O33" s="39"/>
      <c r="P33" s="39"/>
      <c r="Q33" s="39"/>
      <c r="R33" s="39"/>
      <c r="S33" s="39"/>
      <c r="V33" s="766">
        <v>0.2</v>
      </c>
      <c r="W33" s="44" t="s">
        <v>32</v>
      </c>
      <c r="Z33" s="39"/>
      <c r="AA33" s="39"/>
      <c r="AB33" s="39"/>
      <c r="AC33" s="39"/>
      <c r="AD33" s="39"/>
      <c r="AE33" s="39"/>
      <c r="AF33" s="39"/>
      <c r="AG33" s="39"/>
    </row>
    <row r="34" spans="2:33" x14ac:dyDescent="0.35">
      <c r="B34" s="39"/>
      <c r="C34" s="664" t="s">
        <v>726</v>
      </c>
      <c r="E34" s="39"/>
      <c r="F34" s="39"/>
      <c r="G34" s="39"/>
      <c r="H34" s="39"/>
      <c r="I34" s="768">
        <f>SUM(I31:I33)</f>
        <v>0</v>
      </c>
      <c r="J34" s="39"/>
      <c r="K34" s="37"/>
      <c r="L34" s="37"/>
      <c r="M34" s="254" t="s">
        <v>462</v>
      </c>
      <c r="N34" s="251">
        <f>IF(I36=0,0,(I26+I27)/I36)</f>
        <v>0</v>
      </c>
      <c r="O34" s="37"/>
      <c r="P34" s="37"/>
      <c r="Q34" s="39"/>
      <c r="R34" s="39"/>
      <c r="S34" s="39"/>
      <c r="Z34" s="39"/>
      <c r="AA34" s="39"/>
      <c r="AB34" s="39"/>
      <c r="AC34" s="39"/>
      <c r="AD34" s="39"/>
      <c r="AE34" s="39"/>
      <c r="AF34" s="39"/>
      <c r="AG34" s="39"/>
    </row>
    <row r="35" spans="2:33" ht="15" thickBot="1" x14ac:dyDescent="0.4">
      <c r="C35" s="39"/>
      <c r="D35" s="39"/>
      <c r="E35" s="39"/>
      <c r="F35" s="39"/>
      <c r="G35" s="39"/>
      <c r="H35" s="39"/>
      <c r="I35" s="38"/>
      <c r="J35" s="39"/>
      <c r="K35" s="39"/>
      <c r="L35" s="39"/>
      <c r="M35" s="56" t="s">
        <v>461</v>
      </c>
      <c r="N35" s="250">
        <f>IF(I36=0,0,(I18+I26-I32)/I36)</f>
        <v>0</v>
      </c>
      <c r="O35" s="39"/>
      <c r="P35" s="39"/>
      <c r="Q35" s="39"/>
      <c r="R35" s="39"/>
      <c r="S35" s="39"/>
      <c r="Z35" s="39"/>
      <c r="AA35" s="39"/>
      <c r="AB35" s="39"/>
      <c r="AC35" s="39"/>
      <c r="AD35" s="39"/>
      <c r="AE35" s="39"/>
      <c r="AF35" s="39"/>
      <c r="AG35" s="39"/>
    </row>
    <row r="36" spans="2:33" ht="15" thickBot="1" x14ac:dyDescent="0.4">
      <c r="B36" s="777" t="s">
        <v>727</v>
      </c>
      <c r="C36" s="39"/>
      <c r="D36" s="39"/>
      <c r="E36" s="39"/>
      <c r="F36" s="39"/>
      <c r="G36" s="39"/>
      <c r="H36" s="39"/>
      <c r="I36" s="771">
        <f>SUM(I17:I27)-I34</f>
        <v>2450200</v>
      </c>
      <c r="J36" s="39"/>
      <c r="K36" s="37"/>
      <c r="L36" s="37"/>
      <c r="M36" s="254"/>
      <c r="N36" s="251"/>
      <c r="O36" s="37"/>
      <c r="P36" s="37"/>
      <c r="Q36" s="39"/>
      <c r="R36" s="39"/>
      <c r="S36" s="39"/>
      <c r="Z36" s="39"/>
      <c r="AA36" s="39"/>
      <c r="AB36" s="39"/>
      <c r="AC36" s="39"/>
      <c r="AD36" s="39"/>
      <c r="AE36" s="39"/>
      <c r="AF36" s="39"/>
      <c r="AG36" s="39"/>
    </row>
    <row r="37" spans="2:33" s="49" customFormat="1" x14ac:dyDescent="0.35">
      <c r="O37" s="212"/>
    </row>
    <row r="38" spans="2:33" s="49" customFormat="1" ht="18.5" x14ac:dyDescent="0.45">
      <c r="B38" s="570" t="s">
        <v>47</v>
      </c>
      <c r="C38" s="571"/>
      <c r="D38" s="571"/>
      <c r="E38" s="571"/>
      <c r="F38" s="571"/>
      <c r="G38" s="571"/>
      <c r="H38" s="571"/>
      <c r="I38" s="571"/>
    </row>
    <row r="39" spans="2:33" s="49" customFormat="1" ht="22" x14ac:dyDescent="0.35">
      <c r="B39" s="77" t="s">
        <v>437</v>
      </c>
      <c r="C39" s="39"/>
      <c r="D39" s="11"/>
      <c r="E39" s="50" t="s">
        <v>57</v>
      </c>
      <c r="F39" s="50" t="s">
        <v>58</v>
      </c>
      <c r="G39" s="50" t="s">
        <v>59</v>
      </c>
      <c r="H39" s="8" t="s">
        <v>60</v>
      </c>
      <c r="I39" s="75" t="s">
        <v>22</v>
      </c>
    </row>
    <row r="40" spans="2:33" s="49" customFormat="1" ht="15.75" customHeight="1" thickBot="1" x14ac:dyDescent="0.4">
      <c r="B40" s="39"/>
      <c r="C40" s="855" t="s">
        <v>420</v>
      </c>
      <c r="D40" s="856"/>
      <c r="E40" s="86">
        <f>SUM(E41:E51)</f>
        <v>0</v>
      </c>
      <c r="F40" s="246">
        <f>IF(E40=0,0,G40/E40*1000)</f>
        <v>0</v>
      </c>
      <c r="G40" s="86">
        <f>SUM(G41:G51)</f>
        <v>0</v>
      </c>
      <c r="H40" s="247">
        <f>IF(G40=0,0,I40/G40)</f>
        <v>0</v>
      </c>
      <c r="I40" s="772">
        <f>SUM(I41:I51)</f>
        <v>0</v>
      </c>
    </row>
    <row r="41" spans="2:33" s="49" customFormat="1" ht="15" thickTop="1" x14ac:dyDescent="0.35">
      <c r="B41" s="572" t="s">
        <v>426</v>
      </c>
      <c r="C41" s="852" t="s">
        <v>765</v>
      </c>
      <c r="D41" s="853"/>
      <c r="E41" s="87"/>
      <c r="F41" s="85">
        <v>870</v>
      </c>
      <c r="G41" s="36">
        <f>E41*F41/1000</f>
        <v>0</v>
      </c>
      <c r="H41" s="33">
        <v>12.5</v>
      </c>
      <c r="I41" s="773">
        <f>G41*H41</f>
        <v>0</v>
      </c>
    </row>
    <row r="42" spans="2:33" s="49" customFormat="1" x14ac:dyDescent="0.35">
      <c r="B42" s="572" t="s">
        <v>427</v>
      </c>
      <c r="C42" s="852"/>
      <c r="D42" s="853"/>
      <c r="E42" s="35"/>
      <c r="F42" s="24">
        <v>870</v>
      </c>
      <c r="G42" s="36">
        <f t="shared" ref="G42:G50" si="1">E42*F42/1000</f>
        <v>0</v>
      </c>
      <c r="H42" s="33">
        <v>11.6</v>
      </c>
      <c r="I42" s="773">
        <f t="shared" ref="I42:I51" si="2">G42*H42</f>
        <v>0</v>
      </c>
    </row>
    <row r="43" spans="2:33" s="49" customFormat="1" x14ac:dyDescent="0.35">
      <c r="B43" s="572" t="s">
        <v>428</v>
      </c>
      <c r="C43" s="852"/>
      <c r="D43" s="853"/>
      <c r="E43" s="35"/>
      <c r="F43" s="24">
        <v>870</v>
      </c>
      <c r="G43" s="36">
        <f t="shared" si="1"/>
        <v>0</v>
      </c>
      <c r="H43" s="33">
        <v>11.6</v>
      </c>
      <c r="I43" s="773">
        <f t="shared" si="2"/>
        <v>0</v>
      </c>
    </row>
    <row r="44" spans="2:33" s="49" customFormat="1" x14ac:dyDescent="0.35">
      <c r="B44" s="572" t="s">
        <v>429</v>
      </c>
      <c r="C44" s="852"/>
      <c r="D44" s="853"/>
      <c r="E44" s="35"/>
      <c r="F44" s="24">
        <v>870</v>
      </c>
      <c r="G44" s="36">
        <f t="shared" si="1"/>
        <v>0</v>
      </c>
      <c r="H44" s="33">
        <v>11.6</v>
      </c>
      <c r="I44" s="773">
        <f t="shared" si="2"/>
        <v>0</v>
      </c>
    </row>
    <row r="45" spans="2:33" s="49" customFormat="1" ht="15" customHeight="1" x14ac:dyDescent="0.35">
      <c r="B45" s="572" t="s">
        <v>430</v>
      </c>
      <c r="C45" s="852"/>
      <c r="D45" s="853"/>
      <c r="E45" s="35"/>
      <c r="F45" s="24">
        <v>870</v>
      </c>
      <c r="G45" s="36">
        <f t="shared" si="1"/>
        <v>0</v>
      </c>
      <c r="H45" s="33">
        <v>11.6</v>
      </c>
      <c r="I45" s="773">
        <f t="shared" si="2"/>
        <v>0</v>
      </c>
    </row>
    <row r="46" spans="2:33" s="49" customFormat="1" x14ac:dyDescent="0.35">
      <c r="B46" s="572" t="s">
        <v>431</v>
      </c>
      <c r="C46" s="852"/>
      <c r="D46" s="853"/>
      <c r="E46" s="35"/>
      <c r="F46" s="24">
        <v>870</v>
      </c>
      <c r="G46" s="36">
        <f t="shared" si="1"/>
        <v>0</v>
      </c>
      <c r="H46" s="33">
        <v>11.6</v>
      </c>
      <c r="I46" s="773">
        <f t="shared" si="2"/>
        <v>0</v>
      </c>
    </row>
    <row r="47" spans="2:33" s="49" customFormat="1" x14ac:dyDescent="0.35">
      <c r="B47" s="572" t="s">
        <v>432</v>
      </c>
      <c r="C47" s="852"/>
      <c r="D47" s="853"/>
      <c r="E47" s="35"/>
      <c r="F47" s="24">
        <v>870</v>
      </c>
      <c r="G47" s="36">
        <f t="shared" si="1"/>
        <v>0</v>
      </c>
      <c r="H47" s="33">
        <v>11.6</v>
      </c>
      <c r="I47" s="773">
        <f t="shared" si="2"/>
        <v>0</v>
      </c>
    </row>
    <row r="48" spans="2:33" s="49" customFormat="1" x14ac:dyDescent="0.35">
      <c r="B48" s="572" t="s">
        <v>433</v>
      </c>
      <c r="C48" s="852"/>
      <c r="D48" s="853"/>
      <c r="E48" s="35"/>
      <c r="F48" s="24">
        <v>870</v>
      </c>
      <c r="G48" s="36">
        <f t="shared" si="1"/>
        <v>0</v>
      </c>
      <c r="H48" s="33">
        <v>11.6</v>
      </c>
      <c r="I48" s="773">
        <f t="shared" si="2"/>
        <v>0</v>
      </c>
    </row>
    <row r="49" spans="2:33" s="49" customFormat="1" x14ac:dyDescent="0.35">
      <c r="B49" s="572" t="s">
        <v>434</v>
      </c>
      <c r="C49" s="852"/>
      <c r="D49" s="853"/>
      <c r="E49" s="35"/>
      <c r="F49" s="24">
        <v>870</v>
      </c>
      <c r="G49" s="36">
        <f t="shared" si="1"/>
        <v>0</v>
      </c>
      <c r="H49" s="33">
        <v>11.6</v>
      </c>
      <c r="I49" s="773">
        <f t="shared" si="2"/>
        <v>0</v>
      </c>
    </row>
    <row r="50" spans="2:33" s="49" customFormat="1" ht="15" customHeight="1" x14ac:dyDescent="0.35">
      <c r="B50" s="572" t="s">
        <v>435</v>
      </c>
      <c r="C50" s="852"/>
      <c r="D50" s="853"/>
      <c r="E50" s="244"/>
      <c r="F50" s="24">
        <v>870</v>
      </c>
      <c r="G50" s="36">
        <f t="shared" si="1"/>
        <v>0</v>
      </c>
      <c r="H50" s="33">
        <v>11.6</v>
      </c>
      <c r="I50" s="773">
        <f t="shared" si="2"/>
        <v>0</v>
      </c>
    </row>
    <row r="51" spans="2:33" s="49" customFormat="1" x14ac:dyDescent="0.35">
      <c r="B51" s="245"/>
      <c r="C51" s="854" t="s">
        <v>436</v>
      </c>
      <c r="D51" s="854"/>
      <c r="E51" s="36">
        <f>IF(E26-SUM(E41:E50)&lt;0,"Tarkista!",E26-SUM(E41:E50))</f>
        <v>0</v>
      </c>
      <c r="F51" s="248">
        <v>870</v>
      </c>
      <c r="G51" s="36">
        <f>IF(E51="Tarkista!",0,E51*F51/1000)</f>
        <v>0</v>
      </c>
      <c r="H51" s="249">
        <v>12.5</v>
      </c>
      <c r="I51" s="773">
        <f t="shared" si="2"/>
        <v>0</v>
      </c>
    </row>
    <row r="52" spans="2:33" s="49" customFormat="1" x14ac:dyDescent="0.35">
      <c r="B52" s="39"/>
      <c r="C52" s="39"/>
      <c r="D52" s="39"/>
      <c r="E52" s="39"/>
      <c r="F52" s="39"/>
      <c r="G52" s="39"/>
      <c r="H52" s="39"/>
      <c r="I52" s="39"/>
      <c r="O52" s="212"/>
    </row>
    <row r="53" spans="2:33" s="49" customFormat="1" ht="22" x14ac:dyDescent="0.35">
      <c r="B53" s="77" t="s">
        <v>438</v>
      </c>
      <c r="C53" s="39"/>
      <c r="D53" s="11"/>
      <c r="E53" s="50" t="s">
        <v>57</v>
      </c>
      <c r="F53" s="50" t="s">
        <v>58</v>
      </c>
      <c r="G53" s="50" t="s">
        <v>59</v>
      </c>
      <c r="H53" s="8" t="s">
        <v>60</v>
      </c>
      <c r="I53" s="75" t="s">
        <v>22</v>
      </c>
    </row>
    <row r="54" spans="2:33" ht="15" thickBot="1" x14ac:dyDescent="0.4">
      <c r="B54" s="39"/>
      <c r="C54" s="855" t="s">
        <v>70</v>
      </c>
      <c r="D54" s="856"/>
      <c r="E54" s="86">
        <f>SUM(E55:E65)</f>
        <v>0</v>
      </c>
      <c r="F54" s="246">
        <f>IF(E54=0,0,G54/E54*1000)</f>
        <v>0</v>
      </c>
      <c r="G54" s="86">
        <f>SUM(G55:G65)</f>
        <v>0</v>
      </c>
      <c r="H54" s="247">
        <f>IF(G54=0,0,I54/G54)</f>
        <v>0</v>
      </c>
      <c r="I54" s="772">
        <f>SUM(I55:I65)</f>
        <v>0</v>
      </c>
      <c r="J54" s="49"/>
      <c r="K54" s="49"/>
      <c r="L54" s="49"/>
      <c r="M54" s="49"/>
      <c r="N54" s="49"/>
      <c r="O54" s="49"/>
      <c r="P54" s="49"/>
      <c r="Q54" s="49"/>
      <c r="R54" s="49"/>
      <c r="S54" s="49"/>
      <c r="U54" s="49"/>
      <c r="V54" s="49"/>
      <c r="W54" s="49"/>
      <c r="X54" s="49"/>
      <c r="Z54" s="49"/>
      <c r="AA54" s="49"/>
      <c r="AB54" s="49"/>
      <c r="AC54" s="49"/>
      <c r="AD54" s="49"/>
      <c r="AE54" s="49"/>
      <c r="AF54" s="49"/>
      <c r="AG54" s="49"/>
    </row>
    <row r="55" spans="2:33" ht="15" thickTop="1" x14ac:dyDescent="0.35">
      <c r="B55" s="572" t="s">
        <v>440</v>
      </c>
      <c r="C55" s="852" t="s">
        <v>764</v>
      </c>
      <c r="D55" s="853"/>
      <c r="E55" s="87"/>
      <c r="F55" s="35"/>
      <c r="G55" s="36">
        <f>E55*F55/1000</f>
        <v>0</v>
      </c>
      <c r="H55" s="190"/>
      <c r="I55" s="773">
        <f>G55*H55</f>
        <v>0</v>
      </c>
      <c r="J55" s="49"/>
      <c r="K55" s="49"/>
      <c r="L55" s="49"/>
      <c r="M55" s="49"/>
      <c r="N55" s="49"/>
      <c r="O55" s="49"/>
      <c r="P55" s="49"/>
      <c r="Q55" s="49"/>
      <c r="R55" s="49"/>
      <c r="S55" s="49"/>
      <c r="U55" s="49"/>
      <c r="V55" s="49"/>
      <c r="W55" s="49"/>
      <c r="X55" s="49"/>
      <c r="Z55" s="49"/>
      <c r="AA55" s="49"/>
      <c r="AB55" s="49"/>
      <c r="AC55" s="49"/>
      <c r="AD55" s="49"/>
      <c r="AE55" s="49"/>
      <c r="AF55" s="49"/>
      <c r="AG55" s="49"/>
    </row>
    <row r="56" spans="2:33" x14ac:dyDescent="0.35">
      <c r="B56" s="572" t="s">
        <v>441</v>
      </c>
      <c r="C56" s="852"/>
      <c r="D56" s="853"/>
      <c r="E56" s="35"/>
      <c r="F56" s="35"/>
      <c r="G56" s="36">
        <f t="shared" ref="G56:G64" si="3">E56*F56/1000</f>
        <v>0</v>
      </c>
      <c r="H56" s="190"/>
      <c r="I56" s="773">
        <f t="shared" ref="I56:I65" si="4">G56*H56</f>
        <v>0</v>
      </c>
      <c r="J56" s="49"/>
      <c r="K56" s="49"/>
      <c r="L56" s="49"/>
      <c r="M56" s="49"/>
      <c r="N56" s="49"/>
      <c r="O56" s="49"/>
      <c r="P56" s="49"/>
      <c r="Q56" s="49"/>
      <c r="R56" s="49"/>
      <c r="S56" s="49"/>
      <c r="U56" s="49"/>
      <c r="V56" s="49"/>
      <c r="W56" s="49"/>
      <c r="X56" s="49"/>
      <c r="Z56" s="49"/>
      <c r="AA56" s="49"/>
      <c r="AB56" s="49"/>
      <c r="AC56" s="49"/>
      <c r="AD56" s="49"/>
      <c r="AE56" s="49"/>
      <c r="AF56" s="49"/>
      <c r="AG56" s="49"/>
    </row>
    <row r="57" spans="2:33" x14ac:dyDescent="0.35">
      <c r="B57" s="572" t="s">
        <v>442</v>
      </c>
      <c r="C57" s="852"/>
      <c r="D57" s="853"/>
      <c r="E57" s="35"/>
      <c r="F57" s="35"/>
      <c r="G57" s="36">
        <f t="shared" si="3"/>
        <v>0</v>
      </c>
      <c r="H57" s="190"/>
      <c r="I57" s="773">
        <f t="shared" si="4"/>
        <v>0</v>
      </c>
      <c r="J57" s="49"/>
      <c r="K57" s="49"/>
      <c r="L57" s="49"/>
      <c r="M57" s="49"/>
      <c r="N57" s="49"/>
      <c r="O57" s="49"/>
      <c r="P57" s="49"/>
      <c r="Q57" s="49"/>
      <c r="R57" s="49"/>
      <c r="S57" s="49"/>
      <c r="U57" s="49"/>
      <c r="V57" s="49"/>
      <c r="W57" s="49"/>
      <c r="X57" s="49"/>
      <c r="Z57" s="49"/>
      <c r="AA57" s="49"/>
      <c r="AB57" s="49"/>
      <c r="AC57" s="49"/>
      <c r="AD57" s="49"/>
      <c r="AE57" s="49"/>
      <c r="AF57" s="49"/>
      <c r="AG57" s="49"/>
    </row>
    <row r="58" spans="2:33" x14ac:dyDescent="0.35">
      <c r="B58" s="572" t="s">
        <v>443</v>
      </c>
      <c r="C58" s="852"/>
      <c r="D58" s="853"/>
      <c r="E58" s="35"/>
      <c r="F58" s="35"/>
      <c r="G58" s="36">
        <f t="shared" si="3"/>
        <v>0</v>
      </c>
      <c r="H58" s="190"/>
      <c r="I58" s="773">
        <f t="shared" si="4"/>
        <v>0</v>
      </c>
      <c r="J58" s="49"/>
      <c r="K58" s="49"/>
      <c r="L58" s="49"/>
      <c r="M58" s="49"/>
      <c r="N58" s="49"/>
      <c r="O58" s="49"/>
      <c r="P58" s="49"/>
      <c r="Q58" s="49"/>
      <c r="R58" s="49"/>
      <c r="S58" s="49"/>
      <c r="U58" s="49"/>
      <c r="V58" s="49"/>
      <c r="W58" s="49"/>
      <c r="X58" s="49"/>
      <c r="Z58" s="49"/>
      <c r="AA58" s="49"/>
      <c r="AB58" s="49"/>
      <c r="AC58" s="49"/>
      <c r="AD58" s="49"/>
      <c r="AE58" s="49"/>
      <c r="AF58" s="49"/>
      <c r="AG58" s="49"/>
    </row>
    <row r="59" spans="2:33" x14ac:dyDescent="0.35">
      <c r="B59" s="572" t="s">
        <v>444</v>
      </c>
      <c r="C59" s="852"/>
      <c r="D59" s="853"/>
      <c r="E59" s="35"/>
      <c r="F59" s="35"/>
      <c r="G59" s="36">
        <f t="shared" si="3"/>
        <v>0</v>
      </c>
      <c r="H59" s="190"/>
      <c r="I59" s="773">
        <f t="shared" si="4"/>
        <v>0</v>
      </c>
      <c r="J59" s="49"/>
      <c r="K59" s="49"/>
      <c r="L59" s="49"/>
      <c r="M59" s="49"/>
      <c r="N59" s="49"/>
      <c r="O59" s="49"/>
      <c r="P59" s="49"/>
      <c r="Q59" s="49"/>
      <c r="R59" s="49"/>
      <c r="S59" s="49"/>
      <c r="U59" s="49"/>
      <c r="V59" s="49"/>
      <c r="W59" s="49"/>
      <c r="X59" s="49"/>
      <c r="Z59" s="49"/>
      <c r="AA59" s="49"/>
      <c r="AB59" s="49"/>
      <c r="AC59" s="49"/>
      <c r="AD59" s="49"/>
      <c r="AE59" s="49"/>
      <c r="AF59" s="49"/>
      <c r="AG59" s="49"/>
    </row>
    <row r="60" spans="2:33" x14ac:dyDescent="0.35">
      <c r="B60" s="572" t="s">
        <v>445</v>
      </c>
      <c r="C60" s="852"/>
      <c r="D60" s="853"/>
      <c r="E60" s="35"/>
      <c r="F60" s="35"/>
      <c r="G60" s="36">
        <f t="shared" si="3"/>
        <v>0</v>
      </c>
      <c r="H60" s="190"/>
      <c r="I60" s="773">
        <f t="shared" si="4"/>
        <v>0</v>
      </c>
      <c r="J60" s="49"/>
      <c r="K60" s="49"/>
      <c r="L60" s="49"/>
      <c r="M60" s="49"/>
      <c r="N60" s="49"/>
      <c r="O60" s="49"/>
      <c r="P60" s="49"/>
      <c r="Q60" s="49"/>
      <c r="R60" s="49"/>
      <c r="S60" s="49"/>
      <c r="U60" s="49"/>
      <c r="V60" s="49"/>
      <c r="W60" s="49"/>
      <c r="X60" s="49"/>
      <c r="Z60" s="49"/>
      <c r="AA60" s="49"/>
      <c r="AB60" s="49"/>
      <c r="AC60" s="49"/>
      <c r="AD60" s="49"/>
      <c r="AE60" s="49"/>
      <c r="AF60" s="49"/>
      <c r="AG60" s="49"/>
    </row>
    <row r="61" spans="2:33" x14ac:dyDescent="0.35">
      <c r="B61" s="572" t="s">
        <v>446</v>
      </c>
      <c r="C61" s="852"/>
      <c r="D61" s="853"/>
      <c r="E61" s="35"/>
      <c r="F61" s="35"/>
      <c r="G61" s="36">
        <f t="shared" si="3"/>
        <v>0</v>
      </c>
      <c r="H61" s="190"/>
      <c r="I61" s="773">
        <f t="shared" si="4"/>
        <v>0</v>
      </c>
      <c r="J61" s="49"/>
      <c r="K61" s="49"/>
      <c r="L61" s="49"/>
      <c r="M61" s="49"/>
      <c r="N61" s="49"/>
      <c r="O61" s="49"/>
      <c r="P61" s="49"/>
      <c r="Q61" s="49"/>
      <c r="R61" s="49"/>
      <c r="S61" s="49"/>
      <c r="U61" s="49"/>
      <c r="V61" s="49"/>
      <c r="W61" s="49"/>
      <c r="X61" s="49"/>
      <c r="Z61" s="49"/>
      <c r="AA61" s="49"/>
      <c r="AB61" s="49"/>
      <c r="AC61" s="49"/>
      <c r="AD61" s="49"/>
      <c r="AE61" s="49"/>
      <c r="AF61" s="49"/>
      <c r="AG61" s="49"/>
    </row>
    <row r="62" spans="2:33" x14ac:dyDescent="0.35">
      <c r="B62" s="572" t="s">
        <v>447</v>
      </c>
      <c r="C62" s="852"/>
      <c r="D62" s="853"/>
      <c r="E62" s="35"/>
      <c r="F62" s="35"/>
      <c r="G62" s="36">
        <f t="shared" si="3"/>
        <v>0</v>
      </c>
      <c r="H62" s="190"/>
      <c r="I62" s="773">
        <f t="shared" si="4"/>
        <v>0</v>
      </c>
      <c r="J62" s="49"/>
      <c r="K62" s="49"/>
      <c r="L62" s="49"/>
      <c r="M62" s="49"/>
      <c r="N62" s="49"/>
      <c r="O62" s="49"/>
      <c r="P62" s="49"/>
      <c r="Q62" s="49"/>
      <c r="R62" s="49"/>
      <c r="S62" s="49"/>
      <c r="U62" s="49"/>
      <c r="V62" s="49"/>
      <c r="W62" s="49"/>
      <c r="X62" s="49"/>
      <c r="Z62" s="49"/>
      <c r="AA62" s="49"/>
      <c r="AB62" s="49"/>
      <c r="AC62" s="49"/>
      <c r="AD62" s="49"/>
      <c r="AE62" s="49"/>
      <c r="AF62" s="49"/>
      <c r="AG62" s="49"/>
    </row>
    <row r="63" spans="2:33" x14ac:dyDescent="0.35">
      <c r="B63" s="572" t="s">
        <v>448</v>
      </c>
      <c r="C63" s="852"/>
      <c r="D63" s="853"/>
      <c r="E63" s="35"/>
      <c r="F63" s="35"/>
      <c r="G63" s="36">
        <f t="shared" si="3"/>
        <v>0</v>
      </c>
      <c r="H63" s="190"/>
      <c r="I63" s="773">
        <f t="shared" si="4"/>
        <v>0</v>
      </c>
      <c r="J63" s="49"/>
      <c r="K63" s="49"/>
      <c r="L63" s="49"/>
      <c r="M63" s="49"/>
      <c r="N63" s="49"/>
      <c r="O63" s="49"/>
      <c r="P63" s="49"/>
      <c r="Q63" s="49"/>
      <c r="R63" s="49"/>
      <c r="S63" s="49"/>
      <c r="U63" s="49"/>
      <c r="V63" s="49"/>
      <c r="W63" s="49"/>
      <c r="X63" s="49"/>
      <c r="Z63" s="49"/>
      <c r="AA63" s="49"/>
      <c r="AB63" s="49"/>
      <c r="AC63" s="49"/>
      <c r="AD63" s="49"/>
      <c r="AE63" s="49"/>
      <c r="AF63" s="49"/>
      <c r="AG63" s="49"/>
    </row>
    <row r="64" spans="2:33" x14ac:dyDescent="0.35">
      <c r="B64" s="572" t="s">
        <v>449</v>
      </c>
      <c r="C64" s="852"/>
      <c r="D64" s="853"/>
      <c r="E64" s="244"/>
      <c r="F64" s="35"/>
      <c r="G64" s="36">
        <f t="shared" si="3"/>
        <v>0</v>
      </c>
      <c r="H64" s="190"/>
      <c r="I64" s="773">
        <f t="shared" si="4"/>
        <v>0</v>
      </c>
      <c r="J64" s="49"/>
      <c r="K64" s="49"/>
      <c r="L64" s="49"/>
      <c r="M64" s="49"/>
      <c r="N64" s="49"/>
      <c r="O64" s="49"/>
      <c r="P64" s="49"/>
      <c r="Q64" s="49"/>
      <c r="R64" s="49"/>
      <c r="S64" s="49"/>
      <c r="U64" s="49"/>
      <c r="V64" s="49"/>
      <c r="W64" s="49"/>
      <c r="X64" s="49"/>
      <c r="Z64" s="49"/>
      <c r="AA64" s="49"/>
      <c r="AB64" s="49"/>
      <c r="AC64" s="49"/>
      <c r="AD64" s="49"/>
      <c r="AE64" s="49"/>
      <c r="AF64" s="49"/>
      <c r="AG64" s="49"/>
    </row>
    <row r="65" spans="2:33" x14ac:dyDescent="0.35">
      <c r="B65" s="245"/>
      <c r="C65" s="854" t="s">
        <v>436</v>
      </c>
      <c r="D65" s="854"/>
      <c r="E65" s="36">
        <f>IF(E27-SUM(E55:E64)&lt;0,"Tarkista!",E27-SUM(E55:E64))</f>
        <v>0</v>
      </c>
      <c r="F65" s="248">
        <v>300</v>
      </c>
      <c r="G65" s="36">
        <f>IF(E65="Tarkista!",0,E65*F65/1000)</f>
        <v>0</v>
      </c>
      <c r="H65" s="249">
        <v>10.5</v>
      </c>
      <c r="I65" s="773">
        <f t="shared" si="4"/>
        <v>0</v>
      </c>
      <c r="J65" s="49"/>
      <c r="K65" s="49"/>
      <c r="L65" s="49"/>
      <c r="M65" s="49"/>
      <c r="N65" s="49"/>
      <c r="O65" s="49"/>
      <c r="P65" s="49"/>
      <c r="Q65" s="49"/>
      <c r="R65" s="49"/>
      <c r="S65" s="49"/>
      <c r="U65" s="49"/>
      <c r="V65" s="49"/>
      <c r="W65" s="49"/>
      <c r="X65" s="49"/>
      <c r="Z65" s="49"/>
      <c r="AA65" s="49"/>
      <c r="AB65" s="49"/>
      <c r="AC65" s="49"/>
      <c r="AD65" s="49"/>
      <c r="AE65" s="49"/>
      <c r="AF65" s="49"/>
      <c r="AG65" s="49"/>
    </row>
    <row r="66" spans="2:33" x14ac:dyDescent="0.35">
      <c r="B66" s="39"/>
      <c r="C66" s="39"/>
      <c r="D66" s="39"/>
      <c r="E66" s="39"/>
      <c r="F66" s="39"/>
      <c r="G66" s="39"/>
      <c r="H66" s="39"/>
      <c r="I66" s="39"/>
      <c r="J66" s="49"/>
      <c r="K66" s="49"/>
      <c r="L66" s="49"/>
      <c r="M66" s="49"/>
      <c r="N66" s="49"/>
      <c r="O66" s="49"/>
      <c r="P66" s="49"/>
      <c r="Q66" s="49"/>
      <c r="R66" s="49"/>
      <c r="S66" s="49"/>
      <c r="U66" s="49"/>
      <c r="V66" s="49"/>
      <c r="W66" s="49"/>
      <c r="X66" s="49"/>
      <c r="Z66" s="49"/>
      <c r="AA66" s="49"/>
      <c r="AB66" s="49"/>
      <c r="AC66" s="49"/>
      <c r="AD66" s="49"/>
      <c r="AE66" s="49"/>
      <c r="AF66" s="49"/>
      <c r="AG66" s="49"/>
    </row>
    <row r="67" spans="2:33" ht="22" x14ac:dyDescent="0.35">
      <c r="B67" s="77" t="s">
        <v>72</v>
      </c>
      <c r="C67" s="39"/>
      <c r="D67" s="11"/>
      <c r="E67" s="50" t="s">
        <v>57</v>
      </c>
      <c r="F67" s="39"/>
      <c r="G67" s="39"/>
      <c r="H67" s="39"/>
      <c r="I67" s="39"/>
      <c r="J67" s="49"/>
      <c r="K67" s="49"/>
      <c r="L67" s="49"/>
      <c r="M67" s="49"/>
      <c r="N67" s="49"/>
      <c r="O67" s="212"/>
      <c r="P67" s="49"/>
      <c r="Q67" s="49"/>
      <c r="R67" s="49"/>
      <c r="S67" s="49"/>
      <c r="U67" s="49"/>
      <c r="V67" s="49"/>
      <c r="W67" s="49"/>
      <c r="X67" s="49"/>
      <c r="Z67" s="49"/>
      <c r="AA67" s="49"/>
      <c r="AB67" s="49"/>
      <c r="AC67" s="49"/>
      <c r="AD67" s="49"/>
      <c r="AE67" s="49"/>
      <c r="AF67" s="49"/>
      <c r="AG67" s="49"/>
    </row>
    <row r="68" spans="2:33" ht="15" thickBot="1" x14ac:dyDescent="0.4">
      <c r="B68" s="39"/>
      <c r="C68" s="855" t="s">
        <v>439</v>
      </c>
      <c r="D68" s="856"/>
      <c r="E68" s="86">
        <f>SUM(E69:E79)</f>
        <v>0</v>
      </c>
      <c r="F68" s="39"/>
      <c r="G68" s="39"/>
      <c r="H68" s="39"/>
      <c r="I68" s="39"/>
      <c r="J68" s="49"/>
      <c r="K68" s="49"/>
      <c r="L68" s="49"/>
      <c r="M68" s="49"/>
      <c r="N68" s="49"/>
      <c r="O68" s="49"/>
      <c r="P68" s="49"/>
      <c r="Q68" s="49"/>
      <c r="R68" s="49"/>
      <c r="S68" s="49"/>
      <c r="U68" s="49"/>
      <c r="V68" s="49"/>
      <c r="W68" s="49"/>
      <c r="X68" s="49"/>
      <c r="Z68" s="49"/>
      <c r="AA68" s="49"/>
      <c r="AB68" s="49"/>
      <c r="AC68" s="49"/>
      <c r="AD68" s="49"/>
      <c r="AE68" s="49"/>
      <c r="AF68" s="49"/>
      <c r="AG68" s="49"/>
    </row>
    <row r="69" spans="2:33" ht="15" thickTop="1" x14ac:dyDescent="0.35">
      <c r="B69" s="572" t="s">
        <v>450</v>
      </c>
      <c r="C69" s="852"/>
      <c r="D69" s="853"/>
      <c r="E69" s="87"/>
      <c r="F69" s="39"/>
      <c r="G69" s="39"/>
      <c r="H69" s="39"/>
      <c r="I69" s="39"/>
      <c r="J69" s="49"/>
      <c r="K69" s="49"/>
      <c r="L69" s="49"/>
      <c r="M69" s="49"/>
      <c r="N69" s="49"/>
      <c r="O69" s="49"/>
      <c r="P69" s="49"/>
      <c r="Q69" s="49"/>
      <c r="R69" s="49"/>
      <c r="S69" s="49"/>
      <c r="U69" s="49"/>
      <c r="V69" s="49"/>
      <c r="W69" s="49"/>
      <c r="X69" s="49"/>
      <c r="Z69" s="49"/>
      <c r="AA69" s="49"/>
      <c r="AB69" s="49"/>
      <c r="AC69" s="49"/>
      <c r="AD69" s="49"/>
      <c r="AE69" s="49"/>
      <c r="AF69" s="49"/>
      <c r="AG69" s="49"/>
    </row>
    <row r="70" spans="2:33" x14ac:dyDescent="0.35">
      <c r="B70" s="572" t="s">
        <v>451</v>
      </c>
      <c r="C70" s="852"/>
      <c r="D70" s="853"/>
      <c r="E70" s="35"/>
      <c r="F70" s="39"/>
      <c r="G70" s="39"/>
      <c r="H70" s="39"/>
      <c r="I70" s="39"/>
      <c r="J70" s="49"/>
      <c r="K70" s="49"/>
      <c r="L70" s="49"/>
      <c r="M70" s="49"/>
      <c r="N70" s="49"/>
      <c r="O70" s="49"/>
      <c r="P70" s="49"/>
      <c r="Q70" s="49"/>
      <c r="R70" s="49"/>
      <c r="S70" s="49"/>
      <c r="U70" s="49"/>
      <c r="V70" s="49"/>
      <c r="W70" s="49"/>
      <c r="X70" s="49"/>
      <c r="Z70" s="49"/>
      <c r="AA70" s="49"/>
      <c r="AB70" s="49"/>
      <c r="AC70" s="49"/>
      <c r="AD70" s="49"/>
      <c r="AE70" s="49"/>
      <c r="AF70" s="49"/>
      <c r="AG70" s="49"/>
    </row>
    <row r="71" spans="2:33" x14ac:dyDescent="0.35">
      <c r="B71" s="572" t="s">
        <v>452</v>
      </c>
      <c r="C71" s="852"/>
      <c r="D71" s="853"/>
      <c r="E71" s="35"/>
      <c r="F71" s="39"/>
      <c r="G71" s="39"/>
      <c r="H71" s="39"/>
      <c r="I71" s="39"/>
      <c r="J71" s="49"/>
      <c r="K71" s="49"/>
      <c r="L71" s="49"/>
      <c r="M71" s="49"/>
      <c r="N71" s="49"/>
      <c r="O71" s="49"/>
      <c r="P71" s="49"/>
      <c r="Q71" s="49"/>
      <c r="R71" s="49"/>
      <c r="S71" s="49"/>
      <c r="U71" s="49"/>
      <c r="V71" s="49"/>
      <c r="W71" s="49"/>
      <c r="X71" s="49"/>
      <c r="Z71" s="49"/>
      <c r="AA71" s="49"/>
      <c r="AB71" s="49"/>
      <c r="AC71" s="49"/>
      <c r="AD71" s="49"/>
      <c r="AE71" s="49"/>
      <c r="AF71" s="49"/>
      <c r="AG71" s="49"/>
    </row>
    <row r="72" spans="2:33" x14ac:dyDescent="0.35">
      <c r="B72" s="572" t="s">
        <v>453</v>
      </c>
      <c r="C72" s="852"/>
      <c r="D72" s="853"/>
      <c r="E72" s="35"/>
      <c r="F72" s="39"/>
      <c r="G72" s="39"/>
      <c r="H72" s="39"/>
      <c r="I72" s="39"/>
      <c r="J72" s="49"/>
      <c r="K72" s="49"/>
      <c r="L72" s="49"/>
      <c r="M72" s="49"/>
      <c r="N72" s="49"/>
      <c r="O72" s="49"/>
      <c r="P72" s="49"/>
      <c r="Q72" s="49"/>
      <c r="R72" s="49"/>
      <c r="S72" s="49"/>
      <c r="U72" s="49"/>
      <c r="V72" s="49"/>
      <c r="W72" s="49"/>
      <c r="X72" s="49"/>
      <c r="Z72" s="49"/>
      <c r="AA72" s="49"/>
      <c r="AB72" s="49"/>
      <c r="AC72" s="49"/>
      <c r="AD72" s="49"/>
      <c r="AE72" s="49"/>
      <c r="AF72" s="49"/>
      <c r="AG72" s="49"/>
    </row>
    <row r="73" spans="2:33" x14ac:dyDescent="0.35">
      <c r="B73" s="572" t="s">
        <v>454</v>
      </c>
      <c r="C73" s="852"/>
      <c r="D73" s="853"/>
      <c r="E73" s="35"/>
      <c r="F73" s="39"/>
      <c r="G73" s="39"/>
      <c r="H73" s="39"/>
      <c r="I73" s="39"/>
      <c r="J73" s="49"/>
      <c r="K73" s="49"/>
      <c r="L73" s="49"/>
      <c r="M73" s="49"/>
      <c r="N73" s="49"/>
      <c r="O73" s="49"/>
      <c r="P73" s="49"/>
      <c r="Q73" s="49"/>
      <c r="R73" s="49"/>
      <c r="S73" s="49"/>
      <c r="U73" s="49"/>
      <c r="V73" s="49"/>
      <c r="W73" s="49"/>
      <c r="X73" s="49"/>
      <c r="Z73" s="49"/>
      <c r="AA73" s="49"/>
      <c r="AB73" s="49"/>
      <c r="AC73" s="49"/>
      <c r="AD73" s="49"/>
      <c r="AE73" s="49"/>
      <c r="AF73" s="49"/>
      <c r="AG73" s="49"/>
    </row>
    <row r="74" spans="2:33" x14ac:dyDescent="0.35">
      <c r="B74" s="572" t="s">
        <v>455</v>
      </c>
      <c r="C74" s="852"/>
      <c r="D74" s="853"/>
      <c r="E74" s="35"/>
      <c r="F74" s="39"/>
      <c r="G74" s="39"/>
      <c r="H74" s="39"/>
      <c r="I74" s="39"/>
      <c r="J74" s="49"/>
      <c r="K74" s="49"/>
      <c r="L74" s="49"/>
      <c r="M74" s="49"/>
      <c r="N74" s="49"/>
      <c r="O74" s="49"/>
      <c r="P74" s="49"/>
      <c r="Q74" s="49"/>
      <c r="R74" s="49"/>
      <c r="S74" s="49"/>
      <c r="U74" s="49"/>
      <c r="V74" s="49"/>
      <c r="W74" s="49"/>
      <c r="X74" s="49"/>
      <c r="Z74" s="49"/>
      <c r="AA74" s="49"/>
      <c r="AB74" s="49"/>
      <c r="AC74" s="49"/>
      <c r="AD74" s="49"/>
      <c r="AE74" s="49"/>
      <c r="AF74" s="49"/>
      <c r="AG74" s="49"/>
    </row>
    <row r="75" spans="2:33" x14ac:dyDescent="0.35">
      <c r="B75" s="572" t="s">
        <v>456</v>
      </c>
      <c r="C75" s="852"/>
      <c r="D75" s="853"/>
      <c r="E75" s="35"/>
      <c r="F75" s="39"/>
      <c r="G75" s="39"/>
      <c r="H75" s="39"/>
      <c r="I75" s="39"/>
      <c r="J75" s="49"/>
      <c r="K75" s="49"/>
      <c r="L75" s="49"/>
      <c r="M75" s="49"/>
      <c r="N75" s="49"/>
      <c r="O75" s="49"/>
      <c r="P75" s="49"/>
      <c r="Q75" s="49"/>
      <c r="R75" s="49"/>
      <c r="S75" s="49"/>
      <c r="U75" s="49"/>
      <c r="V75" s="49"/>
      <c r="W75" s="49"/>
      <c r="X75" s="49"/>
      <c r="Z75" s="49"/>
      <c r="AA75" s="49"/>
      <c r="AB75" s="49"/>
      <c r="AC75" s="49"/>
      <c r="AD75" s="49"/>
      <c r="AE75" s="49"/>
      <c r="AF75" s="49"/>
      <c r="AG75" s="49"/>
    </row>
    <row r="76" spans="2:33" x14ac:dyDescent="0.35">
      <c r="B76" s="572" t="s">
        <v>457</v>
      </c>
      <c r="C76" s="852"/>
      <c r="D76" s="853"/>
      <c r="E76" s="35"/>
      <c r="F76" s="39"/>
      <c r="G76" s="39"/>
      <c r="H76" s="39"/>
      <c r="I76" s="39"/>
      <c r="J76" s="49"/>
      <c r="K76" s="49"/>
      <c r="L76" s="49"/>
      <c r="M76" s="49"/>
      <c r="N76" s="49"/>
      <c r="O76" s="49"/>
      <c r="P76" s="49"/>
      <c r="Q76" s="49"/>
      <c r="R76" s="49"/>
      <c r="S76" s="49"/>
      <c r="U76" s="49"/>
      <c r="V76" s="49"/>
      <c r="W76" s="49"/>
      <c r="X76" s="49"/>
      <c r="Z76" s="49"/>
      <c r="AA76" s="49"/>
      <c r="AB76" s="49"/>
      <c r="AC76" s="49"/>
      <c r="AD76" s="49"/>
      <c r="AE76" s="49"/>
      <c r="AF76" s="49"/>
      <c r="AG76" s="49"/>
    </row>
    <row r="77" spans="2:33" x14ac:dyDescent="0.35">
      <c r="B77" s="572" t="s">
        <v>458</v>
      </c>
      <c r="C77" s="852"/>
      <c r="D77" s="853"/>
      <c r="E77" s="35"/>
      <c r="F77" s="39"/>
      <c r="G77" s="39"/>
      <c r="H77" s="39"/>
      <c r="I77" s="39"/>
      <c r="J77" s="49"/>
      <c r="K77" s="49"/>
      <c r="L77" s="49"/>
      <c r="M77" s="49"/>
      <c r="N77" s="49"/>
      <c r="O77" s="49"/>
      <c r="P77" s="49"/>
      <c r="Q77" s="49"/>
      <c r="R77" s="49"/>
      <c r="S77" s="49"/>
      <c r="U77" s="49"/>
      <c r="V77" s="49"/>
      <c r="W77" s="49"/>
      <c r="X77" s="49"/>
      <c r="Z77" s="49"/>
      <c r="AA77" s="49"/>
      <c r="AB77" s="49"/>
      <c r="AC77" s="49"/>
      <c r="AD77" s="49"/>
      <c r="AE77" s="49"/>
      <c r="AF77" s="49"/>
      <c r="AG77" s="49"/>
    </row>
    <row r="78" spans="2:33" x14ac:dyDescent="0.35">
      <c r="B78" s="572" t="s">
        <v>459</v>
      </c>
      <c r="C78" s="852"/>
      <c r="D78" s="853"/>
      <c r="E78" s="244"/>
      <c r="F78" s="39"/>
      <c r="G78" s="39"/>
      <c r="H78" s="39"/>
      <c r="I78" s="39"/>
      <c r="J78" s="49"/>
      <c r="K78" s="49"/>
      <c r="L78" s="49"/>
      <c r="M78" s="49"/>
      <c r="N78" s="49"/>
      <c r="O78" s="49"/>
      <c r="P78" s="49"/>
      <c r="Q78" s="49"/>
      <c r="R78" s="49"/>
      <c r="S78" s="49"/>
      <c r="U78" s="49"/>
      <c r="V78" s="49"/>
      <c r="W78" s="49"/>
      <c r="X78" s="49"/>
      <c r="Z78" s="49"/>
      <c r="AA78" s="49"/>
      <c r="AB78" s="49"/>
      <c r="AC78" s="49"/>
      <c r="AD78" s="49"/>
      <c r="AE78" s="49"/>
      <c r="AF78" s="49"/>
      <c r="AG78" s="49"/>
    </row>
    <row r="79" spans="2:33" x14ac:dyDescent="0.35">
      <c r="B79" s="245"/>
      <c r="C79" s="854" t="s">
        <v>436</v>
      </c>
      <c r="D79" s="854"/>
      <c r="E79" s="36">
        <f>IF(E28-SUM(E69:E78)&lt;0,"Tarkista!",E28-SUM(E69:E78))</f>
        <v>0</v>
      </c>
      <c r="F79" s="39"/>
      <c r="G79" s="39"/>
      <c r="H79" s="39"/>
      <c r="I79" s="39"/>
      <c r="J79" s="49"/>
      <c r="K79" s="49"/>
      <c r="L79" s="49"/>
      <c r="M79" s="49"/>
      <c r="N79" s="49"/>
      <c r="O79" s="49"/>
      <c r="P79" s="49"/>
      <c r="Q79" s="49"/>
      <c r="R79" s="49"/>
      <c r="S79" s="49"/>
      <c r="U79" s="49"/>
      <c r="V79" s="49"/>
      <c r="W79" s="49"/>
      <c r="X79" s="49"/>
      <c r="Z79" s="49"/>
      <c r="AA79" s="49"/>
      <c r="AB79" s="49"/>
      <c r="AC79" s="49"/>
      <c r="AD79" s="49"/>
      <c r="AE79" s="49"/>
      <c r="AF79" s="49"/>
      <c r="AG79" s="49"/>
    </row>
    <row r="80" spans="2:33" x14ac:dyDescent="0.35">
      <c r="B80" s="49"/>
      <c r="C80" s="49"/>
      <c r="D80" s="49"/>
      <c r="E80" s="49"/>
      <c r="F80" s="49"/>
      <c r="G80" s="49"/>
      <c r="H80" s="49"/>
      <c r="I80" s="49"/>
      <c r="J80" s="49"/>
      <c r="K80" s="49"/>
      <c r="L80" s="49"/>
      <c r="M80" s="49"/>
      <c r="N80" s="49"/>
      <c r="O80" s="49"/>
      <c r="P80" s="49"/>
      <c r="Q80" s="49"/>
      <c r="R80" s="49"/>
      <c r="S80" s="49"/>
      <c r="U80" s="49"/>
      <c r="V80" s="49"/>
      <c r="W80" s="49"/>
      <c r="X80" s="49"/>
      <c r="Z80" s="49"/>
      <c r="AA80" s="49"/>
      <c r="AB80" s="49"/>
      <c r="AC80" s="49"/>
      <c r="AD80" s="49"/>
      <c r="AE80" s="49"/>
      <c r="AF80" s="49"/>
      <c r="AG80" s="49"/>
    </row>
    <row r="81" s="49" customFormat="1" x14ac:dyDescent="0.35"/>
    <row r="82" s="49" customFormat="1" x14ac:dyDescent="0.35"/>
    <row r="83" s="49" customFormat="1" x14ac:dyDescent="0.35"/>
    <row r="84" s="49" customFormat="1" x14ac:dyDescent="0.35"/>
    <row r="85" s="49" customFormat="1" x14ac:dyDescent="0.35"/>
    <row r="86" s="49" customFormat="1" x14ac:dyDescent="0.35"/>
    <row r="87" s="49" customFormat="1" x14ac:dyDescent="0.35"/>
    <row r="88" s="49" customFormat="1" x14ac:dyDescent="0.35"/>
    <row r="89" s="49" customFormat="1" x14ac:dyDescent="0.35"/>
    <row r="90" s="49" customFormat="1" x14ac:dyDescent="0.35"/>
    <row r="91" s="49" customFormat="1" x14ac:dyDescent="0.35"/>
    <row r="92" s="49" customFormat="1" x14ac:dyDescent="0.35"/>
    <row r="93" s="49" customFormat="1" x14ac:dyDescent="0.35"/>
    <row r="94" s="49" customFormat="1" x14ac:dyDescent="0.35"/>
    <row r="95" s="49" customFormat="1" x14ac:dyDescent="0.35"/>
    <row r="96" s="49" customFormat="1" x14ac:dyDescent="0.35"/>
    <row r="97" s="49" customFormat="1" x14ac:dyDescent="0.35"/>
    <row r="98" s="49" customFormat="1" x14ac:dyDescent="0.35"/>
    <row r="99" s="49" customFormat="1" x14ac:dyDescent="0.35"/>
    <row r="100" s="49" customFormat="1" x14ac:dyDescent="0.35"/>
    <row r="101" s="49" customFormat="1" x14ac:dyDescent="0.35"/>
    <row r="102" s="49" customFormat="1" x14ac:dyDescent="0.35"/>
    <row r="103" s="49" customFormat="1" x14ac:dyDescent="0.35"/>
    <row r="104" s="49" customFormat="1" x14ac:dyDescent="0.35"/>
    <row r="105" s="49" customFormat="1" x14ac:dyDescent="0.35"/>
    <row r="106" s="49" customFormat="1" x14ac:dyDescent="0.35"/>
    <row r="107" s="49" customFormat="1" x14ac:dyDescent="0.35"/>
    <row r="108" s="49" customFormat="1" x14ac:dyDescent="0.35"/>
    <row r="109" s="49" customFormat="1" x14ac:dyDescent="0.35"/>
    <row r="110" s="49" customFormat="1" x14ac:dyDescent="0.35"/>
    <row r="111" s="49" customFormat="1" x14ac:dyDescent="0.35"/>
    <row r="112" s="49" customFormat="1" x14ac:dyDescent="0.35"/>
    <row r="113" s="49" customFormat="1" x14ac:dyDescent="0.35"/>
    <row r="114" s="49" customFormat="1" x14ac:dyDescent="0.35"/>
    <row r="115" s="49" customFormat="1" x14ac:dyDescent="0.35"/>
    <row r="116" s="49" customFormat="1" x14ac:dyDescent="0.35"/>
    <row r="117" s="49" customFormat="1" x14ac:dyDescent="0.35"/>
    <row r="118" s="49" customFormat="1" x14ac:dyDescent="0.35"/>
    <row r="119" s="49" customFormat="1" x14ac:dyDescent="0.35"/>
    <row r="120" s="49" customFormat="1" x14ac:dyDescent="0.35"/>
  </sheetData>
  <sheetProtection algorithmName="SHA-512" hashValue="fmtSLKnTyXodWRUKGpN9gVAeITsr47dkhyqUspwGdXPT8+L+gI3i49pAtbKIFVchkY6kOjwsB+eZ02epu7kgLA==" saltValue="5AguKpNJfZUYa2Qx3Mljzg==" spinCount="100000" sheet="1" objects="1" scenarios="1"/>
  <mergeCells count="50">
    <mergeCell ref="C11:D11"/>
    <mergeCell ref="C43:D43"/>
    <mergeCell ref="C44:D44"/>
    <mergeCell ref="C45:D45"/>
    <mergeCell ref="C46:D46"/>
    <mergeCell ref="C40:D40"/>
    <mergeCell ref="C41:D41"/>
    <mergeCell ref="C42:D42"/>
    <mergeCell ref="C5:D5"/>
    <mergeCell ref="C6:D6"/>
    <mergeCell ref="C7:D7"/>
    <mergeCell ref="C9:D9"/>
    <mergeCell ref="C10:D10"/>
    <mergeCell ref="C8:D8"/>
    <mergeCell ref="K15:L17"/>
    <mergeCell ref="L21:P21"/>
    <mergeCell ref="M15:M17"/>
    <mergeCell ref="N15:N17"/>
    <mergeCell ref="O15:O17"/>
    <mergeCell ref="P15:P17"/>
    <mergeCell ref="L20:P20"/>
    <mergeCell ref="C47:D47"/>
    <mergeCell ref="C54:D54"/>
    <mergeCell ref="C55:D55"/>
    <mergeCell ref="C51:D51"/>
    <mergeCell ref="C48:D48"/>
    <mergeCell ref="C49:D49"/>
    <mergeCell ref="C50:D50"/>
    <mergeCell ref="C56:D56"/>
    <mergeCell ref="C57:D57"/>
    <mergeCell ref="C58:D58"/>
    <mergeCell ref="C59:D59"/>
    <mergeCell ref="C60:D60"/>
    <mergeCell ref="C61:D61"/>
    <mergeCell ref="C62:D62"/>
    <mergeCell ref="C63:D63"/>
    <mergeCell ref="C64:D64"/>
    <mergeCell ref="C65:D65"/>
    <mergeCell ref="C68:D68"/>
    <mergeCell ref="C69:D69"/>
    <mergeCell ref="C70:D70"/>
    <mergeCell ref="C76:D76"/>
    <mergeCell ref="C77:D77"/>
    <mergeCell ref="C78:D78"/>
    <mergeCell ref="C79:D79"/>
    <mergeCell ref="C71:D71"/>
    <mergeCell ref="C72:D72"/>
    <mergeCell ref="C73:D73"/>
    <mergeCell ref="C74:D74"/>
    <mergeCell ref="C75:D75"/>
  </mergeCells>
  <conditionalFormatting sqref="P15">
    <cfRule type="cellIs" dxfId="989" priority="29" operator="between">
      <formula>0.1</formula>
      <formula>0.15</formula>
    </cfRule>
    <cfRule type="containsText" dxfId="988" priority="30" operator="containsText" text="Tarkista">
      <formula>NOT(ISERROR(SEARCH("Tarkista",P15)))</formula>
    </cfRule>
    <cfRule type="cellIs" dxfId="987" priority="31" operator="greaterThan">
      <formula>0.15</formula>
    </cfRule>
    <cfRule type="cellIs" dxfId="986" priority="32" operator="lessThan">
      <formula>0.1</formula>
    </cfRule>
  </conditionalFormatting>
  <conditionalFormatting sqref="K21">
    <cfRule type="cellIs" dxfId="985" priority="12" operator="between">
      <formula>0.05</formula>
      <formula>0.08</formula>
    </cfRule>
    <cfRule type="cellIs" dxfId="984" priority="19" operator="lessThan">
      <formula>0.05</formula>
    </cfRule>
  </conditionalFormatting>
  <conditionalFormatting sqref="L21">
    <cfRule type="containsText" dxfId="983" priority="22" operator="containsText" text="suuri">
      <formula>NOT(ISERROR(SEARCH("suuri",L21)))</formula>
    </cfRule>
    <cfRule type="containsText" dxfId="982" priority="23" operator="containsText" text="korkeampi">
      <formula>NOT(ISERROR(SEARCH("korkeampi",L21)))</formula>
    </cfRule>
  </conditionalFormatting>
  <conditionalFormatting sqref="L21">
    <cfRule type="containsText" dxfId="981" priority="11" operator="containsText" text="hyvä">
      <formula>NOT(ISERROR(SEARCH("hyvä",L21)))</formula>
    </cfRule>
    <cfRule type="containsText" dxfId="980" priority="18" operator="containsText" text="epä">
      <formula>NOT(ISERROR(SEARCH("epä",L21)))</formula>
    </cfRule>
    <cfRule type="containsText" dxfId="979" priority="20" operator="containsText" text="Tarkista">
      <formula>NOT(ISERROR(SEARCH("Tarkista",L21)))</formula>
    </cfRule>
  </conditionalFormatting>
  <conditionalFormatting sqref="L20">
    <cfRule type="containsText" dxfId="978" priority="15" operator="containsText" text="huono">
      <formula>NOT(ISERROR(SEARCH("huono",L20)))</formula>
    </cfRule>
    <cfRule type="containsText" dxfId="977" priority="16" operator="containsText" text="alhainen">
      <formula>NOT(ISERROR(SEARCH("alhainen",L20)))</formula>
    </cfRule>
  </conditionalFormatting>
  <conditionalFormatting sqref="K20">
    <cfRule type="cellIs" dxfId="976" priority="13" operator="between">
      <formula>5000</formula>
      <formula>6000</formula>
    </cfRule>
    <cfRule type="cellIs" dxfId="975" priority="14" operator="lessThan">
      <formula>5000</formula>
    </cfRule>
  </conditionalFormatting>
  <conditionalFormatting sqref="H5:H11">
    <cfRule type="dataBar" priority="7">
      <dataBar>
        <cfvo type="min"/>
        <cfvo type="max"/>
        <color rgb="FF63C384"/>
      </dataBar>
      <extLst>
        <ext xmlns:x14="http://schemas.microsoft.com/office/spreadsheetml/2009/9/main" uri="{B025F937-C7B1-47D3-B67F-A62EFF666E3E}">
          <x14:id>{97AC2CD4-9A0B-4488-B679-C1C7C474FD89}</x14:id>
        </ext>
      </extLst>
    </cfRule>
  </conditionalFormatting>
  <conditionalFormatting sqref="E51">
    <cfRule type="containsText" dxfId="974" priority="6" operator="containsText" text="Tarkista">
      <formula>NOT(ISERROR(SEARCH("Tarkista",E51)))</formula>
    </cfRule>
  </conditionalFormatting>
  <conditionalFormatting sqref="E65">
    <cfRule type="containsText" dxfId="973" priority="5" operator="containsText" text="Tarkista">
      <formula>NOT(ISERROR(SEARCH("Tarkista",E65)))</formula>
    </cfRule>
  </conditionalFormatting>
  <conditionalFormatting sqref="E79">
    <cfRule type="containsText" dxfId="972" priority="4" operator="containsText" text="Tarkista">
      <formula>NOT(ISERROR(SEARCH("Tarkista",E79)))</formula>
    </cfRule>
  </conditionalFormatting>
  <conditionalFormatting sqref="A1:J1 L1:XFD1 E34:XFD34 A34:C34 A2:XFD33 A35:XFD1048576">
    <cfRule type="cellIs" dxfId="971" priority="2" operator="lessThan">
      <formula>0</formula>
    </cfRule>
  </conditionalFormatting>
  <conditionalFormatting sqref="K1">
    <cfRule type="cellIs" dxfId="970" priority="1" operator="lessThan">
      <formula>0</formula>
    </cfRule>
  </conditionalFormatting>
  <hyperlinks>
    <hyperlink ref="E6" location="Energiantarve!A1" display="Energiantarve!A1" xr:uid="{00000000-0004-0000-0500-000000000000}"/>
    <hyperlink ref="P5" location="Energiantarve!A1" display="Energiantarve!A1" xr:uid="{00000000-0004-0000-0500-000001000000}"/>
    <hyperlink ref="L5" location="Energiantarve!A1" display="Energiantarve!A1" xr:uid="{00000000-0004-0000-0500-000002000000}"/>
    <hyperlink ref="N11" location="Energiantarve!A1" display="Energiantarve!A1" xr:uid="{00000000-0004-0000-0500-000003000000}"/>
  </hyperlinks>
  <pageMargins left="0.7" right="0.7" top="0.75" bottom="0.75" header="0.3" footer="0.3"/>
  <pageSetup paperSize="9" orientation="portrait" horizontalDpi="300" verticalDpi="300" r:id="rId1"/>
  <drawing r:id="rId2"/>
  <legacyDrawing r:id="rId3"/>
  <extLst>
    <ext xmlns:x14="http://schemas.microsoft.com/office/spreadsheetml/2009/9/main" uri="{78C0D931-6437-407d-A8EE-F0AAD7539E65}">
      <x14:conditionalFormattings>
        <x14:conditionalFormatting xmlns:xm="http://schemas.microsoft.com/office/excel/2006/main">
          <x14:cfRule type="dataBar" id="{97AC2CD4-9A0B-4488-B679-C1C7C474FD89}">
            <x14:dataBar minLength="0" maxLength="100" border="1" negativeBarBorderColorSameAsPositive="0">
              <x14:cfvo type="autoMin"/>
              <x14:cfvo type="autoMax"/>
              <x14:borderColor rgb="FF63C384"/>
              <x14:negativeFillColor rgb="FFFF0000"/>
              <x14:negativeBorderColor rgb="FFFF0000"/>
              <x14:axisColor rgb="FF000000"/>
            </x14:dataBar>
          </x14:cfRule>
          <xm:sqref>H5:H11</xm:sqref>
        </x14:conditionalFormatting>
      </x14:conditionalFormatting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ul7">
    <tabColor theme="7" tint="-0.249977111117893"/>
  </sheetPr>
  <dimension ref="A1:BD159"/>
  <sheetViews>
    <sheetView zoomScale="85" workbookViewId="0">
      <pane ySplit="1" topLeftCell="A3" activePane="bottomLeft" state="frozen"/>
      <selection activeCell="E1" sqref="E1"/>
      <selection pane="bottomLeft" activeCell="E27" sqref="E27:I27"/>
    </sheetView>
  </sheetViews>
  <sheetFormatPr defaultColWidth="9.1796875" defaultRowHeight="14.5" x14ac:dyDescent="0.35"/>
  <cols>
    <col min="1" max="1" width="2.6328125" style="49" customWidth="1"/>
    <col min="2" max="3" width="2.6328125" style="44" customWidth="1"/>
    <col min="4" max="5" width="14.36328125" style="44" customWidth="1"/>
    <col min="6" max="6" width="2.6328125" style="44" customWidth="1"/>
    <col min="7" max="11" width="9.1796875" style="44"/>
    <col min="12" max="13" width="2.6328125" style="44" customWidth="1"/>
    <col min="14" max="28" width="9.1796875" style="44"/>
    <col min="29" max="29" width="2.6328125" style="49" customWidth="1"/>
    <col min="30" max="30" width="9.1796875" style="49"/>
    <col min="31" max="38" width="9.1796875" style="44"/>
    <col min="39" max="56" width="9.1796875" style="49"/>
    <col min="57" max="16384" width="9.1796875" style="44"/>
  </cols>
  <sheetData>
    <row r="1" spans="1:56" s="410" customFormat="1" ht="27" customHeight="1" x14ac:dyDescent="0.35">
      <c r="A1" s="408"/>
      <c r="B1" s="408"/>
      <c r="C1" s="408"/>
      <c r="D1" s="408"/>
      <c r="E1" s="409" t="s">
        <v>703</v>
      </c>
      <c r="F1" s="408"/>
      <c r="G1" s="409"/>
      <c r="H1" s="408"/>
      <c r="I1" s="408"/>
      <c r="J1" s="408"/>
      <c r="K1" s="408"/>
      <c r="L1" s="408"/>
      <c r="M1" s="408"/>
      <c r="N1" s="409"/>
      <c r="O1" s="408"/>
      <c r="P1" s="408"/>
      <c r="Q1" s="408"/>
      <c r="R1" s="408"/>
      <c r="S1" s="408"/>
      <c r="T1" s="408" t="str">
        <f>CONCATENATE(Etusivu!$F$10,," ",Etusivu!$G$10,", ",Etusivu!$F$7," ",Etusivu!$G$7)</f>
        <v>Laskelman laatija: Lappari-elinkeino -hanke, Laskelmavuosi: 2021</v>
      </c>
      <c r="U1" s="408"/>
      <c r="V1" s="408"/>
      <c r="W1" s="408"/>
      <c r="X1" s="408"/>
      <c r="Y1" s="408"/>
      <c r="Z1" s="411"/>
      <c r="AA1" s="408"/>
      <c r="AB1" s="408"/>
      <c r="AC1" s="408"/>
      <c r="AD1" s="408"/>
      <c r="AE1" s="408"/>
      <c r="AF1" s="408"/>
      <c r="AG1" s="408"/>
      <c r="AH1" s="408"/>
      <c r="AI1" s="408"/>
      <c r="AJ1" s="408"/>
      <c r="AK1" s="408"/>
      <c r="AL1" s="408"/>
      <c r="AM1" s="412"/>
      <c r="AN1" s="408"/>
      <c r="AO1" s="408"/>
      <c r="AP1" s="408"/>
      <c r="AQ1" s="408"/>
      <c r="AR1" s="408"/>
      <c r="AS1" s="408"/>
      <c r="AT1" s="408"/>
      <c r="AU1" s="408"/>
      <c r="AV1" s="408"/>
      <c r="AW1" s="408"/>
      <c r="AX1" s="408"/>
      <c r="AY1" s="408"/>
      <c r="AZ1" s="408"/>
      <c r="BA1" s="408"/>
      <c r="BB1" s="408"/>
      <c r="BC1" s="408"/>
      <c r="BD1" s="408"/>
    </row>
    <row r="2" spans="1:56" s="2" customFormat="1" ht="14.25" customHeight="1" x14ac:dyDescent="0.35">
      <c r="A2" s="3"/>
      <c r="B2" s="4"/>
      <c r="C2" s="1"/>
      <c r="D2" s="1"/>
      <c r="E2" s="1"/>
      <c r="F2" s="1"/>
      <c r="G2" s="1"/>
      <c r="H2" s="1"/>
      <c r="I2" s="1"/>
      <c r="J2" s="1"/>
      <c r="K2" s="1"/>
      <c r="L2" s="1"/>
      <c r="M2" s="1"/>
      <c r="N2" s="1"/>
      <c r="O2" s="1"/>
      <c r="P2" s="1"/>
      <c r="Q2" s="1"/>
      <c r="R2" s="1"/>
      <c r="S2" s="1"/>
      <c r="T2" s="3"/>
      <c r="U2" s="3"/>
      <c r="V2" s="95"/>
      <c r="W2" s="1"/>
      <c r="X2" s="1"/>
      <c r="Y2" s="1"/>
      <c r="Z2" s="3"/>
      <c r="AA2" s="1"/>
      <c r="AB2" s="1"/>
      <c r="AC2" s="1"/>
      <c r="AD2" s="1"/>
      <c r="AE2" s="1"/>
      <c r="AF2" s="1"/>
      <c r="AG2" s="1"/>
      <c r="AH2" s="1"/>
      <c r="AI2" s="1"/>
      <c r="AJ2" s="1"/>
      <c r="AK2" s="1"/>
      <c r="AL2" s="1"/>
      <c r="AM2" s="94"/>
      <c r="AN2" s="1"/>
      <c r="AO2" s="1"/>
      <c r="AP2" s="1"/>
      <c r="AQ2" s="1"/>
      <c r="AR2" s="1"/>
      <c r="AS2" s="1"/>
      <c r="AT2" s="1"/>
      <c r="AU2" s="1"/>
      <c r="AV2" s="1"/>
      <c r="AW2" s="1"/>
      <c r="AX2" s="1"/>
      <c r="AY2" s="1"/>
      <c r="AZ2" s="1"/>
      <c r="BA2" s="1"/>
      <c r="BB2" s="1"/>
      <c r="BC2" s="1"/>
      <c r="BD2" s="1"/>
    </row>
    <row r="3" spans="1:56" ht="18.5" x14ac:dyDescent="0.45">
      <c r="B3" s="211"/>
      <c r="C3" s="39"/>
      <c r="D3" s="39"/>
      <c r="E3" s="39"/>
      <c r="F3" s="39"/>
      <c r="G3" s="39"/>
      <c r="H3" s="39"/>
      <c r="I3" s="39"/>
      <c r="J3" s="39"/>
      <c r="K3" s="39"/>
      <c r="L3" s="39"/>
      <c r="M3" s="39"/>
      <c r="N3" s="848" t="s">
        <v>364</v>
      </c>
      <c r="O3" s="839" t="s">
        <v>252</v>
      </c>
      <c r="P3" s="836" t="s">
        <v>366</v>
      </c>
      <c r="Q3" s="839" t="s">
        <v>365</v>
      </c>
      <c r="R3" s="836" t="s">
        <v>368</v>
      </c>
      <c r="S3" s="842" t="s">
        <v>367</v>
      </c>
      <c r="T3" s="839" t="s">
        <v>369</v>
      </c>
      <c r="U3" s="836" t="s">
        <v>370</v>
      </c>
      <c r="V3" s="839" t="s">
        <v>371</v>
      </c>
      <c r="W3" s="836" t="s">
        <v>372</v>
      </c>
      <c r="X3" s="839" t="s">
        <v>373</v>
      </c>
      <c r="Y3" s="836" t="s">
        <v>374</v>
      </c>
      <c r="Z3" s="839" t="s">
        <v>375</v>
      </c>
      <c r="AA3" s="836" t="s">
        <v>376</v>
      </c>
      <c r="AB3" s="839" t="s">
        <v>377</v>
      </c>
      <c r="AC3" s="39"/>
      <c r="AE3" s="49"/>
      <c r="AF3" s="49"/>
      <c r="AG3" s="49"/>
      <c r="AH3" s="49"/>
      <c r="AI3" s="49"/>
      <c r="AJ3" s="49"/>
      <c r="AK3" s="49"/>
      <c r="AL3" s="49"/>
    </row>
    <row r="4" spans="1:56" ht="18.5" x14ac:dyDescent="0.45">
      <c r="B4" s="193"/>
      <c r="L4" s="39"/>
      <c r="M4" s="39"/>
      <c r="N4" s="849"/>
      <c r="O4" s="840"/>
      <c r="P4" s="837"/>
      <c r="Q4" s="840"/>
      <c r="R4" s="837"/>
      <c r="S4" s="843"/>
      <c r="T4" s="840"/>
      <c r="U4" s="837"/>
      <c r="V4" s="840"/>
      <c r="W4" s="837"/>
      <c r="X4" s="840"/>
      <c r="Y4" s="837"/>
      <c r="Z4" s="840"/>
      <c r="AA4" s="837"/>
      <c r="AB4" s="840"/>
      <c r="AC4" s="39"/>
      <c r="AE4" s="49"/>
      <c r="AF4" s="49"/>
      <c r="AG4" s="49"/>
      <c r="AH4" s="49"/>
      <c r="AI4" s="49"/>
      <c r="AJ4" s="49"/>
      <c r="AK4" s="49"/>
      <c r="AL4" s="49"/>
    </row>
    <row r="5" spans="1:56" x14ac:dyDescent="0.35">
      <c r="L5" s="39"/>
      <c r="M5" s="851" t="s">
        <v>387</v>
      </c>
      <c r="N5" s="850"/>
      <c r="O5" s="841"/>
      <c r="P5" s="838"/>
      <c r="Q5" s="841"/>
      <c r="R5" s="838"/>
      <c r="S5" s="844"/>
      <c r="T5" s="841"/>
      <c r="U5" s="838"/>
      <c r="V5" s="841"/>
      <c r="W5" s="838"/>
      <c r="X5" s="841"/>
      <c r="Y5" s="838"/>
      <c r="Z5" s="841"/>
      <c r="AA5" s="838"/>
      <c r="AB5" s="841"/>
      <c r="AC5" s="39"/>
      <c r="AE5" s="49"/>
      <c r="AF5" s="49"/>
      <c r="AG5" s="49"/>
      <c r="AH5" s="49"/>
      <c r="AI5" s="49"/>
      <c r="AJ5" s="49"/>
      <c r="AK5" s="49"/>
      <c r="AL5" s="49"/>
    </row>
    <row r="6" spans="1:56" ht="21.5" thickBot="1" x14ac:dyDescent="0.4">
      <c r="B6" s="39"/>
      <c r="C6" s="39"/>
      <c r="D6" s="39"/>
      <c r="E6" s="55" t="s">
        <v>354</v>
      </c>
      <c r="F6" s="39"/>
      <c r="G6" s="180" t="s">
        <v>350</v>
      </c>
      <c r="H6" s="202" t="s">
        <v>351</v>
      </c>
      <c r="I6" s="180" t="s">
        <v>352</v>
      </c>
      <c r="J6" s="200" t="s">
        <v>60</v>
      </c>
      <c r="K6" s="180" t="s">
        <v>353</v>
      </c>
      <c r="L6" s="55"/>
      <c r="M6" s="851"/>
      <c r="N6" s="199" t="s">
        <v>390</v>
      </c>
      <c r="O6" s="199" t="s">
        <v>391</v>
      </c>
      <c r="P6" s="199" t="s">
        <v>392</v>
      </c>
      <c r="Q6" s="199" t="s">
        <v>393</v>
      </c>
      <c r="R6" s="199" t="s">
        <v>382</v>
      </c>
      <c r="S6" s="199" t="s">
        <v>389</v>
      </c>
      <c r="T6" s="199" t="s">
        <v>394</v>
      </c>
      <c r="U6" s="199" t="s">
        <v>383</v>
      </c>
      <c r="V6" s="199" t="s">
        <v>384</v>
      </c>
      <c r="W6" s="199" t="s">
        <v>385</v>
      </c>
      <c r="X6" s="199" t="s">
        <v>388</v>
      </c>
      <c r="Y6" s="199" t="s">
        <v>395</v>
      </c>
      <c r="Z6" s="199" t="s">
        <v>386</v>
      </c>
      <c r="AA6" s="199" t="s">
        <v>396</v>
      </c>
      <c r="AB6" s="199" t="s">
        <v>397</v>
      </c>
      <c r="AC6" s="39"/>
      <c r="AE6" s="49"/>
      <c r="AF6" s="49"/>
      <c r="AG6" s="49"/>
      <c r="AH6" s="49"/>
      <c r="AI6" s="49"/>
      <c r="AJ6" s="49"/>
      <c r="AK6" s="49"/>
      <c r="AL6" s="49"/>
    </row>
    <row r="7" spans="1:56" s="717" customFormat="1" ht="23.25" customHeight="1" thickBot="1" x14ac:dyDescent="0.4">
      <c r="A7" s="715"/>
      <c r="B7" s="716" t="s">
        <v>9</v>
      </c>
      <c r="E7" s="718">
        <f>Rehuntuotanto!E7</f>
        <v>20</v>
      </c>
      <c r="F7" s="502"/>
      <c r="G7" s="719">
        <f>Rehuntuotanto!G7</f>
        <v>30000</v>
      </c>
      <c r="H7" s="720">
        <f>Rehuntuotanto!H7</f>
        <v>323.33333333333331</v>
      </c>
      <c r="I7" s="719">
        <f>Rehuntuotanto!I7</f>
        <v>9700</v>
      </c>
      <c r="J7" s="721">
        <f>Rehuntuotanto!J7</f>
        <v>11.131958762886597</v>
      </c>
      <c r="K7" s="719">
        <f>Rehuntuotanto!K7</f>
        <v>107980</v>
      </c>
      <c r="L7" s="722"/>
      <c r="M7" s="502"/>
      <c r="N7" s="720">
        <f>Rehuntuotanto!N7</f>
        <v>323.33333333333331</v>
      </c>
      <c r="O7" s="723">
        <f>Rehuntuotanto!O7</f>
        <v>0</v>
      </c>
      <c r="P7" s="724">
        <f>Rehuntuotanto!P7</f>
        <v>0</v>
      </c>
      <c r="Q7" s="723">
        <f>Rehuntuotanto!Q7</f>
        <v>0</v>
      </c>
      <c r="R7" s="724">
        <f>Rehuntuotanto!R7</f>
        <v>0</v>
      </c>
      <c r="S7" s="721">
        <f>Rehuntuotanto!S7</f>
        <v>11.131958762886597</v>
      </c>
      <c r="T7" s="723">
        <f>Rehuntuotanto!T7</f>
        <v>0</v>
      </c>
      <c r="U7" s="724">
        <f>Rehuntuotanto!U7</f>
        <v>0</v>
      </c>
      <c r="V7" s="725">
        <f>Rehuntuotanto!V7</f>
        <v>0</v>
      </c>
      <c r="W7" s="724">
        <f>Rehuntuotanto!W7</f>
        <v>0</v>
      </c>
      <c r="X7" s="723">
        <f>Rehuntuotanto!X7</f>
        <v>0</v>
      </c>
      <c r="Y7" s="724">
        <f>Rehuntuotanto!Y7</f>
        <v>0</v>
      </c>
      <c r="Z7" s="723">
        <f>Rehuntuotanto!Z7</f>
        <v>0</v>
      </c>
      <c r="AA7" s="724">
        <f>Rehuntuotanto!AA7</f>
        <v>0</v>
      </c>
      <c r="AB7" s="723">
        <f>Rehuntuotanto!AB7</f>
        <v>0</v>
      </c>
      <c r="AC7" s="502"/>
      <c r="AD7" s="715"/>
      <c r="AE7" s="715"/>
      <c r="AF7" s="715"/>
      <c r="AG7" s="715"/>
      <c r="AH7" s="715"/>
      <c r="AI7" s="715"/>
      <c r="AJ7" s="715"/>
      <c r="AK7" s="715"/>
      <c r="AL7" s="715"/>
      <c r="AM7" s="715"/>
      <c r="AN7" s="715"/>
      <c r="AO7" s="715"/>
      <c r="AP7" s="715"/>
      <c r="AQ7" s="715"/>
      <c r="AR7" s="715"/>
      <c r="AS7" s="715"/>
      <c r="AT7" s="715"/>
      <c r="AU7" s="715"/>
      <c r="AV7" s="715"/>
      <c r="AW7" s="715"/>
      <c r="AX7" s="715"/>
      <c r="AY7" s="715"/>
      <c r="AZ7" s="715"/>
      <c r="BA7" s="715"/>
      <c r="BB7" s="715"/>
      <c r="BC7" s="715"/>
      <c r="BD7" s="715"/>
    </row>
    <row r="8" spans="1:56" ht="15.75" customHeight="1" x14ac:dyDescent="0.35">
      <c r="B8" s="39"/>
      <c r="C8" s="39"/>
      <c r="D8" s="39"/>
      <c r="E8" s="39"/>
      <c r="F8" s="39"/>
      <c r="G8" s="39"/>
      <c r="H8" s="39"/>
      <c r="I8" s="39"/>
      <c r="J8" s="39"/>
      <c r="K8" s="39"/>
      <c r="L8" s="39"/>
      <c r="M8" s="39"/>
      <c r="N8" s="39"/>
      <c r="O8" s="39"/>
      <c r="P8" s="39"/>
      <c r="Q8" s="39"/>
      <c r="R8" s="39"/>
      <c r="S8" s="39"/>
      <c r="T8" s="39"/>
      <c r="U8" s="39"/>
      <c r="V8" s="39"/>
      <c r="W8" s="39"/>
      <c r="X8" s="39"/>
      <c r="Y8" s="39"/>
      <c r="Z8" s="39"/>
      <c r="AA8" s="39"/>
      <c r="AB8" s="39"/>
      <c r="AC8" s="39"/>
      <c r="AE8" s="49"/>
      <c r="AF8" s="49"/>
      <c r="AG8" s="49"/>
      <c r="AH8" s="49"/>
      <c r="AI8" s="49"/>
      <c r="AJ8" s="49"/>
      <c r="AK8" s="49"/>
      <c r="AL8" s="49"/>
    </row>
    <row r="9" spans="1:56" ht="15.75" customHeight="1" x14ac:dyDescent="0.35">
      <c r="B9" s="39"/>
      <c r="C9" s="39"/>
      <c r="D9" s="39"/>
      <c r="E9" s="39"/>
      <c r="F9" s="39"/>
      <c r="G9" s="39"/>
      <c r="H9" s="39"/>
      <c r="I9" s="39"/>
      <c r="J9" s="39"/>
      <c r="K9" s="39"/>
      <c r="L9" s="39"/>
      <c r="M9" s="39"/>
      <c r="N9" s="39"/>
      <c r="O9" s="39"/>
      <c r="P9" s="39"/>
      <c r="Q9" s="39"/>
      <c r="R9" s="39"/>
      <c r="S9" s="39"/>
      <c r="T9" s="39"/>
      <c r="U9" s="39"/>
      <c r="V9" s="39"/>
      <c r="W9" s="39"/>
      <c r="X9" s="39"/>
      <c r="Y9" s="39"/>
      <c r="Z9" s="39"/>
      <c r="AA9" s="39"/>
      <c r="AB9" s="39"/>
      <c r="AC9" s="39"/>
      <c r="AE9" s="49"/>
      <c r="AF9" s="49"/>
      <c r="AG9" s="49"/>
      <c r="AH9" s="49"/>
      <c r="AI9" s="49"/>
      <c r="AJ9" s="49"/>
      <c r="AK9" s="49"/>
      <c r="AL9" s="49"/>
    </row>
    <row r="10" spans="1:56" x14ac:dyDescent="0.35">
      <c r="B10" s="39"/>
      <c r="C10" s="39"/>
      <c r="D10" s="39"/>
      <c r="E10" s="39"/>
      <c r="F10" s="39"/>
      <c r="G10" s="39"/>
      <c r="H10" s="39"/>
      <c r="I10" s="39"/>
      <c r="J10" s="39"/>
      <c r="K10" s="39"/>
      <c r="L10" s="39"/>
      <c r="M10" s="39"/>
      <c r="N10" s="39"/>
      <c r="O10" s="39"/>
      <c r="P10" s="39"/>
      <c r="Q10" s="39"/>
      <c r="R10" s="39"/>
      <c r="S10" s="39"/>
      <c r="T10" s="39"/>
      <c r="U10" s="39"/>
      <c r="V10" s="39"/>
      <c r="W10" s="39"/>
      <c r="X10" s="39"/>
      <c r="Y10" s="39"/>
      <c r="Z10" s="39"/>
      <c r="AA10" s="39"/>
      <c r="AB10" s="39"/>
      <c r="AC10" s="39"/>
      <c r="AE10" s="49"/>
      <c r="AF10" s="49"/>
      <c r="AG10" s="49"/>
      <c r="AH10" s="49"/>
      <c r="AI10" s="49"/>
      <c r="AJ10" s="49"/>
      <c r="AK10" s="49"/>
      <c r="AL10" s="49"/>
    </row>
    <row r="11" spans="1:56" ht="15" customHeight="1" x14ac:dyDescent="0.35">
      <c r="B11" s="39"/>
      <c r="C11" s="39"/>
      <c r="D11" s="39"/>
      <c r="E11" s="39"/>
      <c r="F11" s="39"/>
      <c r="G11" s="39"/>
      <c r="H11" s="39"/>
      <c r="I11" s="39"/>
      <c r="J11" s="39"/>
      <c r="K11" s="39"/>
      <c r="L11" s="39"/>
      <c r="M11" s="39"/>
      <c r="N11" s="39"/>
      <c r="O11" s="39"/>
      <c r="P11" s="39"/>
      <c r="Q11" s="39"/>
      <c r="R11" s="39"/>
      <c r="S11" s="39"/>
      <c r="T11" s="39"/>
      <c r="U11" s="39"/>
      <c r="V11" s="39"/>
      <c r="W11" s="39"/>
      <c r="X11" s="39"/>
      <c r="Y11" s="39"/>
      <c r="Z11" s="39"/>
      <c r="AA11" s="39"/>
      <c r="AB11" s="39"/>
      <c r="AC11" s="39"/>
      <c r="AE11" s="49"/>
      <c r="AF11" s="49"/>
      <c r="AG11" s="49"/>
      <c r="AH11" s="49"/>
      <c r="AI11" s="49"/>
      <c r="AJ11" s="49"/>
      <c r="AK11" s="49"/>
      <c r="AL11" s="49"/>
    </row>
    <row r="12" spans="1:56" x14ac:dyDescent="0.35">
      <c r="B12" s="39"/>
      <c r="C12" s="39"/>
      <c r="D12" s="39"/>
      <c r="E12" s="39"/>
      <c r="F12" s="39"/>
      <c r="G12" s="39"/>
      <c r="H12" s="39"/>
      <c r="I12" s="39"/>
      <c r="J12" s="39"/>
      <c r="K12" s="39"/>
      <c r="L12" s="39"/>
      <c r="M12" s="39"/>
      <c r="N12" s="39"/>
      <c r="O12" s="39"/>
      <c r="P12" s="39"/>
      <c r="Q12" s="39"/>
      <c r="R12" s="39"/>
      <c r="S12" s="39"/>
      <c r="T12" s="39"/>
      <c r="U12" s="39"/>
      <c r="V12" s="39"/>
      <c r="W12" s="39"/>
      <c r="X12" s="39"/>
      <c r="Y12" s="39"/>
      <c r="Z12" s="39"/>
      <c r="AA12" s="39"/>
      <c r="AB12" s="39"/>
      <c r="AC12" s="39"/>
      <c r="AE12" s="49"/>
      <c r="AF12" s="49"/>
      <c r="AG12" s="49"/>
      <c r="AH12" s="49"/>
      <c r="AI12" s="49"/>
      <c r="AJ12" s="49"/>
      <c r="AK12" s="49"/>
      <c r="AL12" s="49"/>
    </row>
    <row r="13" spans="1:56" x14ac:dyDescent="0.35">
      <c r="B13" s="39"/>
      <c r="C13" s="39"/>
      <c r="D13" s="39"/>
      <c r="E13" s="39"/>
      <c r="F13" s="39"/>
      <c r="G13" s="39"/>
      <c r="H13" s="39"/>
      <c r="I13" s="39"/>
      <c r="J13" s="39"/>
      <c r="K13" s="39"/>
      <c r="L13" s="39"/>
      <c r="M13" s="39"/>
      <c r="N13" s="39"/>
      <c r="O13" s="39"/>
      <c r="P13" s="39"/>
      <c r="Q13" s="39"/>
      <c r="R13" s="39"/>
      <c r="S13" s="39"/>
      <c r="T13" s="39"/>
      <c r="U13" s="39"/>
      <c r="V13" s="39"/>
      <c r="W13" s="39"/>
      <c r="X13" s="39"/>
      <c r="Y13" s="39"/>
      <c r="Z13" s="39"/>
      <c r="AA13" s="39"/>
      <c r="AB13" s="39"/>
      <c r="AC13" s="39"/>
      <c r="AE13" s="49"/>
      <c r="AF13" s="49"/>
      <c r="AG13" s="49"/>
      <c r="AH13" s="49"/>
      <c r="AI13" s="49"/>
      <c r="AJ13" s="49"/>
      <c r="AK13" s="49"/>
      <c r="AL13" s="49"/>
    </row>
    <row r="14" spans="1:56" x14ac:dyDescent="0.35">
      <c r="B14" s="39"/>
      <c r="C14" s="39"/>
      <c r="D14" s="39"/>
      <c r="E14" s="39"/>
      <c r="F14" s="39"/>
      <c r="G14" s="39"/>
      <c r="H14" s="39"/>
      <c r="I14" s="39"/>
      <c r="J14" s="39"/>
      <c r="K14" s="39"/>
      <c r="L14" s="39"/>
      <c r="M14" s="39"/>
      <c r="N14" s="39"/>
      <c r="O14" s="39"/>
      <c r="P14" s="39"/>
      <c r="Q14" s="39"/>
      <c r="R14" s="39"/>
      <c r="S14" s="39"/>
      <c r="T14" s="39"/>
      <c r="U14" s="39"/>
      <c r="V14" s="39"/>
      <c r="W14" s="39"/>
      <c r="X14" s="39"/>
      <c r="Y14" s="39"/>
      <c r="Z14" s="39"/>
      <c r="AA14" s="39"/>
      <c r="AB14" s="39"/>
      <c r="AC14" s="39"/>
      <c r="AE14" s="49"/>
      <c r="AF14" s="49"/>
      <c r="AG14" s="49"/>
      <c r="AH14" s="49"/>
      <c r="AI14" s="49"/>
      <c r="AJ14" s="49"/>
      <c r="AK14" s="49"/>
      <c r="AL14" s="49"/>
    </row>
    <row r="15" spans="1:56" x14ac:dyDescent="0.35">
      <c r="B15" s="39"/>
      <c r="C15" s="39"/>
      <c r="D15" s="39"/>
      <c r="E15" s="39"/>
      <c r="F15" s="39"/>
      <c r="G15" s="39"/>
      <c r="H15" s="39"/>
      <c r="I15" s="39"/>
      <c r="J15" s="39"/>
      <c r="K15" s="39"/>
      <c r="L15" s="39"/>
      <c r="M15" s="39"/>
      <c r="N15" s="39"/>
      <c r="O15" s="39"/>
      <c r="P15" s="39"/>
      <c r="Q15" s="39"/>
      <c r="R15" s="39"/>
      <c r="S15" s="39"/>
      <c r="T15" s="39"/>
      <c r="U15" s="39"/>
      <c r="V15" s="39"/>
      <c r="W15" s="39"/>
      <c r="X15" s="39"/>
      <c r="Y15" s="39"/>
      <c r="Z15" s="39"/>
      <c r="AA15" s="39"/>
      <c r="AB15" s="39"/>
      <c r="AC15" s="39"/>
      <c r="AE15" s="49"/>
      <c r="AF15" s="49"/>
      <c r="AG15" s="49"/>
      <c r="AH15" s="49"/>
      <c r="AI15" s="49"/>
      <c r="AJ15" s="49"/>
      <c r="AK15" s="49"/>
      <c r="AL15" s="49"/>
    </row>
    <row r="16" spans="1:56" x14ac:dyDescent="0.35">
      <c r="B16" s="39"/>
      <c r="C16" s="39"/>
      <c r="D16" s="39"/>
      <c r="E16" s="39"/>
      <c r="F16" s="39"/>
      <c r="G16" s="39"/>
      <c r="H16" s="39"/>
      <c r="I16" s="39"/>
      <c r="J16" s="39"/>
      <c r="K16" s="39"/>
      <c r="L16" s="39"/>
      <c r="M16" s="39"/>
      <c r="N16" s="39"/>
      <c r="O16" s="39"/>
      <c r="P16" s="39"/>
      <c r="Q16" s="39"/>
      <c r="R16" s="39"/>
      <c r="S16" s="39"/>
      <c r="T16" s="39"/>
      <c r="U16" s="39"/>
      <c r="V16" s="39"/>
      <c r="W16" s="39"/>
      <c r="X16" s="39"/>
      <c r="Y16" s="39"/>
      <c r="Z16" s="39"/>
      <c r="AA16" s="39"/>
      <c r="AB16" s="39"/>
      <c r="AC16" s="39"/>
      <c r="AE16" s="49"/>
      <c r="AF16" s="49"/>
      <c r="AG16" s="49"/>
      <c r="AH16" s="49"/>
      <c r="AI16" s="49"/>
      <c r="AJ16" s="49"/>
      <c r="AK16" s="49"/>
      <c r="AL16" s="49"/>
    </row>
    <row r="17" spans="2:38" x14ac:dyDescent="0.35">
      <c r="B17" s="39"/>
      <c r="C17" s="39"/>
      <c r="D17" s="39"/>
      <c r="E17" s="39"/>
      <c r="F17" s="39"/>
      <c r="G17" s="39"/>
      <c r="H17" s="39"/>
      <c r="I17" s="39"/>
      <c r="J17" s="39"/>
      <c r="K17" s="39"/>
      <c r="L17" s="39"/>
      <c r="M17" s="39"/>
      <c r="N17" s="39"/>
      <c r="O17" s="39"/>
      <c r="P17" s="39"/>
      <c r="Q17" s="39"/>
      <c r="R17" s="39"/>
      <c r="S17" s="39"/>
      <c r="T17" s="39"/>
      <c r="U17" s="39"/>
      <c r="V17" s="39"/>
      <c r="W17" s="39"/>
      <c r="X17" s="39"/>
      <c r="Y17" s="39"/>
      <c r="Z17" s="39"/>
      <c r="AA17" s="39"/>
      <c r="AB17" s="39"/>
      <c r="AC17" s="39"/>
      <c r="AE17" s="49"/>
      <c r="AF17" s="49"/>
      <c r="AG17" s="49"/>
      <c r="AH17" s="49"/>
      <c r="AI17" s="49"/>
      <c r="AJ17" s="49"/>
      <c r="AK17" s="49"/>
      <c r="AL17" s="49"/>
    </row>
    <row r="18" spans="2:38" x14ac:dyDescent="0.35">
      <c r="B18" s="39"/>
      <c r="C18" s="39"/>
      <c r="D18" s="39"/>
      <c r="E18" s="39"/>
      <c r="F18" s="39"/>
      <c r="G18" s="39"/>
      <c r="H18" s="39"/>
      <c r="I18" s="39"/>
      <c r="J18" s="39"/>
      <c r="K18" s="39"/>
      <c r="L18" s="39"/>
      <c r="M18" s="39"/>
      <c r="N18" s="39"/>
      <c r="O18" s="39"/>
      <c r="P18" s="39"/>
      <c r="Q18" s="39"/>
      <c r="R18" s="39"/>
      <c r="S18" s="39"/>
      <c r="T18" s="39"/>
      <c r="U18" s="39"/>
      <c r="V18" s="39"/>
      <c r="W18" s="39"/>
      <c r="X18" s="39"/>
      <c r="Y18" s="39"/>
      <c r="Z18" s="39"/>
      <c r="AA18" s="39"/>
      <c r="AB18" s="39"/>
      <c r="AC18" s="39"/>
      <c r="AE18" s="49"/>
      <c r="AF18" s="49"/>
      <c r="AG18" s="49"/>
      <c r="AH18" s="49"/>
      <c r="AI18" s="49"/>
      <c r="AJ18" s="49"/>
      <c r="AK18" s="49"/>
      <c r="AL18" s="49"/>
    </row>
    <row r="19" spans="2:38" x14ac:dyDescent="0.35">
      <c r="B19" s="39"/>
      <c r="C19" s="39"/>
      <c r="D19" s="39"/>
      <c r="E19" s="39"/>
      <c r="F19" s="39"/>
      <c r="G19" s="39"/>
      <c r="H19" s="39"/>
      <c r="I19" s="39"/>
      <c r="J19" s="39"/>
      <c r="K19" s="39"/>
      <c r="L19" s="39"/>
      <c r="M19" s="39"/>
      <c r="N19" s="39"/>
      <c r="O19" s="39"/>
      <c r="P19" s="39"/>
      <c r="Q19" s="39"/>
      <c r="R19" s="39"/>
      <c r="S19" s="39"/>
      <c r="T19" s="39"/>
      <c r="U19" s="39"/>
      <c r="V19" s="39"/>
      <c r="W19" s="39"/>
      <c r="X19" s="39"/>
      <c r="Y19" s="39"/>
      <c r="Z19" s="39"/>
      <c r="AA19" s="39"/>
      <c r="AB19" s="39"/>
      <c r="AC19" s="39"/>
      <c r="AE19" s="49"/>
      <c r="AF19" s="49"/>
      <c r="AG19" s="49"/>
      <c r="AH19" s="49"/>
      <c r="AI19" s="49"/>
      <c r="AJ19" s="49"/>
      <c r="AK19" s="49"/>
      <c r="AL19" s="49"/>
    </row>
    <row r="20" spans="2:38" x14ac:dyDescent="0.35">
      <c r="B20" s="39"/>
      <c r="C20" s="39"/>
      <c r="D20" s="39"/>
      <c r="E20" s="39"/>
      <c r="F20" s="39"/>
      <c r="G20" s="618" t="s">
        <v>700</v>
      </c>
      <c r="H20" s="618" t="s">
        <v>704</v>
      </c>
      <c r="I20" s="39"/>
      <c r="J20" s="39"/>
      <c r="K20" s="39"/>
      <c r="L20" s="39"/>
      <c r="M20" s="39"/>
      <c r="N20" s="39"/>
      <c r="O20" s="39"/>
      <c r="P20" s="39"/>
      <c r="Q20" s="39"/>
      <c r="R20" s="39"/>
      <c r="S20" s="39"/>
      <c r="T20" s="39"/>
      <c r="U20" s="39"/>
      <c r="V20" s="39"/>
      <c r="W20" s="39"/>
      <c r="X20" s="39"/>
      <c r="Y20" s="39"/>
      <c r="Z20" s="39"/>
      <c r="AA20" s="39"/>
      <c r="AB20" s="39"/>
      <c r="AC20" s="39"/>
      <c r="AE20" s="49"/>
      <c r="AF20" s="49"/>
      <c r="AG20" s="49"/>
      <c r="AH20" s="49"/>
      <c r="AI20" s="49"/>
      <c r="AJ20" s="49"/>
      <c r="AK20" s="49"/>
      <c r="AL20" s="49"/>
    </row>
    <row r="21" spans="2:38" x14ac:dyDescent="0.35">
      <c r="B21" s="39"/>
      <c r="C21" s="300" t="s">
        <v>699</v>
      </c>
      <c r="D21" s="300"/>
      <c r="E21" s="300"/>
      <c r="F21" s="300"/>
      <c r="G21" s="712">
        <f>'Rehun käyttö, nettosato'!F17</f>
        <v>9700</v>
      </c>
      <c r="H21" s="714">
        <f>'Rehun käyttö, nettosato'!E$17*G21</f>
        <v>194000</v>
      </c>
      <c r="I21" s="38"/>
      <c r="J21" s="39"/>
      <c r="K21" s="39"/>
      <c r="L21" s="39"/>
      <c r="M21" s="39"/>
      <c r="N21" s="39"/>
      <c r="O21" s="39"/>
      <c r="P21" s="39"/>
      <c r="Q21" s="39"/>
      <c r="R21" s="39"/>
      <c r="S21" s="39"/>
      <c r="T21" s="39"/>
      <c r="U21" s="39"/>
      <c r="V21" s="39"/>
      <c r="W21" s="39"/>
      <c r="X21" s="39"/>
      <c r="Y21" s="39"/>
      <c r="Z21" s="39"/>
      <c r="AA21" s="39"/>
      <c r="AB21" s="39"/>
      <c r="AC21" s="39"/>
      <c r="AE21" s="49"/>
      <c r="AF21" s="49"/>
      <c r="AG21" s="49"/>
      <c r="AH21" s="49"/>
      <c r="AI21" s="49"/>
      <c r="AJ21" s="49"/>
      <c r="AK21" s="49"/>
      <c r="AL21" s="49"/>
    </row>
    <row r="22" spans="2:38" x14ac:dyDescent="0.35">
      <c r="B22" s="39"/>
      <c r="C22" s="300" t="s">
        <v>701</v>
      </c>
      <c r="D22" s="300"/>
      <c r="E22" s="300"/>
      <c r="F22" s="300"/>
      <c r="G22" s="712">
        <f>'Rehun käyttö, nettosato'!M15</f>
        <v>8200</v>
      </c>
      <c r="H22" s="714">
        <f>'Rehun käyttö, nettosato'!E$17*G22</f>
        <v>164000</v>
      </c>
      <c r="I22" s="38"/>
      <c r="J22" s="39"/>
      <c r="K22" s="39"/>
      <c r="L22" s="39"/>
      <c r="M22" s="39"/>
      <c r="N22" s="39"/>
      <c r="O22" s="39"/>
      <c r="P22" s="39"/>
      <c r="Q22" s="39"/>
      <c r="R22" s="39"/>
      <c r="S22" s="39"/>
      <c r="T22" s="39"/>
      <c r="U22" s="39"/>
      <c r="V22" s="39"/>
      <c r="W22" s="39"/>
      <c r="X22" s="39"/>
      <c r="Y22" s="39"/>
      <c r="Z22" s="39"/>
      <c r="AA22" s="39"/>
      <c r="AB22" s="39"/>
      <c r="AC22" s="39"/>
      <c r="AE22" s="49"/>
      <c r="AF22" s="49"/>
      <c r="AG22" s="49"/>
      <c r="AH22" s="49"/>
      <c r="AI22" s="49"/>
      <c r="AJ22" s="49"/>
      <c r="AK22" s="49"/>
      <c r="AL22" s="49"/>
    </row>
    <row r="23" spans="2:38" x14ac:dyDescent="0.35">
      <c r="B23" s="39"/>
      <c r="C23" s="300" t="s">
        <v>702</v>
      </c>
      <c r="D23" s="300"/>
      <c r="E23" s="300"/>
      <c r="F23" s="300"/>
      <c r="G23" s="712">
        <f>G21-G22</f>
        <v>1500</v>
      </c>
      <c r="H23" s="714">
        <f>'Rehun käyttö, nettosato'!E$17*G23</f>
        <v>30000</v>
      </c>
      <c r="I23" s="713">
        <f>IF(G21=0,0,G23/G21)</f>
        <v>0.15463917525773196</v>
      </c>
      <c r="J23" s="39"/>
      <c r="K23" s="39"/>
      <c r="L23" s="39"/>
      <c r="M23" s="39"/>
      <c r="N23" s="39"/>
      <c r="O23" s="39"/>
      <c r="P23" s="39"/>
      <c r="Q23" s="39"/>
      <c r="R23" s="39"/>
      <c r="S23" s="39"/>
      <c r="T23" s="39"/>
      <c r="U23" s="39"/>
      <c r="V23" s="39"/>
      <c r="W23" s="39"/>
      <c r="X23" s="39"/>
      <c r="Y23" s="39"/>
      <c r="Z23" s="39"/>
      <c r="AA23" s="39"/>
      <c r="AB23" s="39"/>
      <c r="AC23" s="39"/>
      <c r="AE23" s="49"/>
      <c r="AF23" s="49"/>
      <c r="AG23" s="49"/>
      <c r="AH23" s="49"/>
      <c r="AI23" s="49"/>
      <c r="AJ23" s="49"/>
      <c r="AK23" s="49"/>
      <c r="AL23" s="49"/>
    </row>
    <row r="24" spans="2:38" x14ac:dyDescent="0.35">
      <c r="B24" s="39"/>
      <c r="C24" s="39"/>
      <c r="D24" s="39"/>
      <c r="E24" s="39"/>
      <c r="F24" s="39"/>
      <c r="G24" s="39"/>
      <c r="H24" s="39"/>
      <c r="I24" s="39"/>
      <c r="J24" s="39"/>
      <c r="K24" s="39"/>
      <c r="L24" s="39"/>
      <c r="M24" s="39"/>
      <c r="N24" s="39"/>
      <c r="O24" s="39"/>
      <c r="P24" s="39"/>
      <c r="Q24" s="39"/>
      <c r="R24" s="39"/>
      <c r="S24" s="39"/>
      <c r="T24" s="39"/>
      <c r="U24" s="39"/>
      <c r="V24" s="39"/>
      <c r="W24" s="39"/>
      <c r="X24" s="39"/>
      <c r="Y24" s="39"/>
      <c r="Z24" s="39"/>
      <c r="AA24" s="39"/>
      <c r="AB24" s="39"/>
      <c r="AC24" s="39"/>
      <c r="AE24" s="49"/>
      <c r="AF24" s="49"/>
      <c r="AG24" s="49"/>
      <c r="AH24" s="49"/>
      <c r="AI24" s="49"/>
      <c r="AJ24" s="49"/>
      <c r="AK24" s="49"/>
      <c r="AL24" s="49"/>
    </row>
    <row r="25" spans="2:38" ht="15.5" x14ac:dyDescent="0.35">
      <c r="B25" s="39"/>
      <c r="C25" s="88" t="s">
        <v>12</v>
      </c>
      <c r="D25" s="88"/>
      <c r="E25" s="88"/>
      <c r="F25" s="49"/>
      <c r="G25" s="49"/>
      <c r="H25" s="49"/>
      <c r="I25" s="49"/>
      <c r="J25" s="39"/>
      <c r="K25" s="39"/>
      <c r="L25" s="39"/>
      <c r="M25" s="39"/>
      <c r="N25" s="39"/>
      <c r="O25" s="39"/>
      <c r="P25" s="39"/>
      <c r="Q25" s="39"/>
      <c r="R25" s="39"/>
      <c r="S25" s="39"/>
      <c r="T25" s="39"/>
      <c r="U25" s="39"/>
      <c r="V25" s="39"/>
      <c r="W25" s="39"/>
      <c r="X25" s="39"/>
      <c r="Y25" s="39"/>
      <c r="Z25" s="39"/>
      <c r="AA25" s="39"/>
      <c r="AB25" s="39"/>
      <c r="AC25" s="39"/>
      <c r="AE25" s="49"/>
      <c r="AF25" s="49"/>
      <c r="AG25" s="49"/>
      <c r="AH25" s="49"/>
      <c r="AI25" s="49"/>
      <c r="AJ25" s="49"/>
      <c r="AK25" s="49"/>
      <c r="AL25" s="49"/>
    </row>
    <row r="26" spans="2:38" x14ac:dyDescent="0.35">
      <c r="B26" s="39"/>
      <c r="C26" s="39"/>
      <c r="D26" s="90">
        <f>G22</f>
        <v>8200</v>
      </c>
      <c r="E26" s="863" t="str">
        <f>'Rehun käyttö, nettosato'!L20</f>
        <v>kg ka 
/ ha on hyvä säilörehun nettosato</v>
      </c>
      <c r="F26" s="863"/>
      <c r="G26" s="863"/>
      <c r="H26" s="863"/>
      <c r="I26" s="863"/>
      <c r="J26" s="39"/>
      <c r="K26" s="39"/>
      <c r="L26" s="39"/>
      <c r="M26" s="39"/>
      <c r="N26" s="39"/>
      <c r="O26" s="39"/>
      <c r="P26" s="39"/>
      <c r="Q26" s="39"/>
      <c r="R26" s="39"/>
      <c r="S26" s="39"/>
      <c r="T26" s="39"/>
      <c r="U26" s="39"/>
      <c r="V26" s="39"/>
      <c r="W26" s="39"/>
      <c r="X26" s="39"/>
      <c r="Y26" s="39"/>
      <c r="Z26" s="39"/>
      <c r="AA26" s="39"/>
      <c r="AB26" s="39"/>
      <c r="AC26" s="39"/>
      <c r="AE26" s="49"/>
      <c r="AF26" s="49"/>
      <c r="AG26" s="49"/>
      <c r="AH26" s="49"/>
      <c r="AI26" s="49"/>
      <c r="AJ26" s="49"/>
      <c r="AK26" s="49"/>
      <c r="AL26" s="49"/>
    </row>
    <row r="27" spans="2:38" x14ac:dyDescent="0.35">
      <c r="B27" s="39"/>
      <c r="C27" s="39"/>
      <c r="D27" s="91">
        <f>I23</f>
        <v>0.15463917525773196</v>
      </c>
      <c r="E27" s="863" t="str">
        <f>'Rehun käyttö, nettosato'!L21</f>
        <v>säilörehun hävikki on normaalia korkeampi</v>
      </c>
      <c r="F27" s="863"/>
      <c r="G27" s="863"/>
      <c r="H27" s="863"/>
      <c r="I27" s="863"/>
      <c r="J27" s="39"/>
      <c r="K27" s="39"/>
      <c r="L27" s="39"/>
      <c r="M27" s="39"/>
      <c r="N27" s="39"/>
      <c r="O27" s="39"/>
      <c r="P27" s="39"/>
      <c r="Q27" s="39"/>
      <c r="R27" s="39"/>
      <c r="S27" s="39"/>
      <c r="T27" s="39"/>
      <c r="U27" s="39"/>
      <c r="V27" s="39"/>
      <c r="W27" s="39"/>
      <c r="X27" s="39"/>
      <c r="Y27" s="39"/>
      <c r="Z27" s="39"/>
      <c r="AA27" s="39"/>
      <c r="AB27" s="39"/>
      <c r="AC27" s="39"/>
      <c r="AE27" s="49"/>
      <c r="AF27" s="49"/>
      <c r="AG27" s="49"/>
      <c r="AH27" s="49"/>
      <c r="AI27" s="49"/>
      <c r="AJ27" s="49"/>
      <c r="AK27" s="49"/>
      <c r="AL27" s="49"/>
    </row>
    <row r="28" spans="2:38" ht="15.5" x14ac:dyDescent="0.35">
      <c r="B28" s="39"/>
      <c r="C28" s="253"/>
      <c r="D28" s="253"/>
      <c r="E28" s="88"/>
      <c r="F28" s="49"/>
      <c r="G28" s="49"/>
      <c r="H28" s="49"/>
      <c r="I28" s="49"/>
      <c r="J28" s="39"/>
      <c r="K28" s="39"/>
      <c r="L28" s="39"/>
      <c r="M28" s="39"/>
      <c r="N28" s="39"/>
      <c r="O28" s="39"/>
      <c r="P28" s="39"/>
      <c r="Q28" s="39"/>
      <c r="R28" s="39"/>
      <c r="S28" s="39"/>
      <c r="T28" s="39"/>
      <c r="U28" s="39"/>
      <c r="V28" s="39"/>
      <c r="W28" s="39"/>
      <c r="X28" s="39"/>
      <c r="Y28" s="39"/>
      <c r="Z28" s="39"/>
      <c r="AA28" s="39"/>
      <c r="AB28" s="39"/>
      <c r="AC28" s="39"/>
      <c r="AE28" s="49"/>
      <c r="AF28" s="49"/>
      <c r="AG28" s="49"/>
      <c r="AH28" s="49"/>
      <c r="AI28" s="49"/>
      <c r="AJ28" s="49"/>
      <c r="AK28" s="49"/>
      <c r="AL28" s="49"/>
    </row>
    <row r="29" spans="2:38" x14ac:dyDescent="0.35">
      <c r="B29" s="39"/>
      <c r="C29" s="39"/>
      <c r="D29" s="39"/>
      <c r="E29" s="39"/>
      <c r="F29" s="39"/>
      <c r="G29" s="39"/>
      <c r="H29" s="39"/>
      <c r="I29" s="39"/>
      <c r="J29" s="39"/>
      <c r="K29" s="39"/>
      <c r="L29" s="39"/>
      <c r="M29" s="39"/>
      <c r="N29" s="39"/>
      <c r="O29" s="39"/>
      <c r="P29" s="39"/>
      <c r="Q29" s="39"/>
      <c r="R29" s="39"/>
      <c r="S29" s="39"/>
      <c r="T29" s="39"/>
      <c r="U29" s="39"/>
      <c r="V29" s="39"/>
      <c r="W29" s="39"/>
      <c r="X29" s="39"/>
      <c r="Y29" s="39"/>
      <c r="Z29" s="39"/>
      <c r="AA29" s="39"/>
      <c r="AB29" s="39"/>
      <c r="AC29" s="39"/>
      <c r="AE29" s="49"/>
      <c r="AF29" s="49"/>
      <c r="AG29" s="49"/>
      <c r="AH29" s="49"/>
      <c r="AI29" s="49"/>
      <c r="AJ29" s="49"/>
      <c r="AK29" s="49"/>
      <c r="AL29" s="49"/>
    </row>
    <row r="30" spans="2:38" x14ac:dyDescent="0.35">
      <c r="B30" s="39"/>
      <c r="C30" s="39"/>
      <c r="D30" s="39"/>
      <c r="E30" s="39"/>
      <c r="F30" s="39"/>
      <c r="G30" s="39"/>
      <c r="H30" s="39"/>
      <c r="I30" s="39"/>
      <c r="J30" s="39"/>
      <c r="K30" s="39"/>
      <c r="L30" s="39"/>
      <c r="M30" s="39"/>
      <c r="N30" s="39"/>
      <c r="O30" s="39"/>
      <c r="P30" s="39"/>
      <c r="Q30" s="39"/>
      <c r="R30" s="39"/>
      <c r="S30" s="39"/>
      <c r="T30" s="39"/>
      <c r="U30" s="39"/>
      <c r="V30" s="39"/>
      <c r="W30" s="39"/>
      <c r="X30" s="39"/>
      <c r="Y30" s="39"/>
      <c r="Z30" s="39"/>
      <c r="AA30" s="39"/>
      <c r="AB30" s="39"/>
      <c r="AC30" s="39"/>
      <c r="AE30" s="49"/>
      <c r="AF30" s="49"/>
      <c r="AG30" s="49"/>
      <c r="AH30" s="49"/>
      <c r="AI30" s="49"/>
      <c r="AJ30" s="49"/>
      <c r="AK30" s="49"/>
      <c r="AL30" s="49"/>
    </row>
    <row r="31" spans="2:38" x14ac:dyDescent="0.35">
      <c r="B31" s="39"/>
      <c r="C31" s="39"/>
      <c r="D31" s="39"/>
      <c r="E31" s="39"/>
      <c r="F31" s="39"/>
      <c r="G31" s="39"/>
      <c r="H31" s="39"/>
      <c r="I31" s="39"/>
      <c r="J31" s="39"/>
      <c r="K31" s="39"/>
      <c r="L31" s="39"/>
      <c r="M31" s="39"/>
      <c r="N31" s="39"/>
      <c r="O31" s="39"/>
      <c r="P31" s="39"/>
      <c r="Q31" s="39"/>
      <c r="R31" s="39"/>
      <c r="S31" s="39"/>
      <c r="T31" s="39"/>
      <c r="U31" s="39"/>
      <c r="V31" s="39"/>
      <c r="W31" s="39"/>
      <c r="X31" s="39"/>
      <c r="Y31" s="39"/>
      <c r="Z31" s="39"/>
      <c r="AA31" s="39"/>
      <c r="AB31" s="39"/>
      <c r="AC31" s="39"/>
      <c r="AE31" s="49"/>
      <c r="AF31" s="49"/>
      <c r="AG31" s="49"/>
      <c r="AH31" s="49"/>
      <c r="AI31" s="49"/>
      <c r="AJ31" s="49"/>
      <c r="AK31" s="49"/>
      <c r="AL31" s="49"/>
    </row>
    <row r="32" spans="2:38" x14ac:dyDescent="0.35">
      <c r="B32" s="39"/>
      <c r="C32" s="39"/>
      <c r="D32" s="39"/>
      <c r="E32" s="39"/>
      <c r="F32" s="39"/>
      <c r="G32" s="39"/>
      <c r="H32" s="39"/>
      <c r="I32" s="39"/>
      <c r="J32" s="39"/>
      <c r="K32" s="39"/>
      <c r="L32" s="39"/>
      <c r="M32" s="39"/>
      <c r="N32" s="39"/>
      <c r="O32" s="39"/>
      <c r="P32" s="39"/>
      <c r="Q32" s="39"/>
      <c r="R32" s="39"/>
      <c r="S32" s="39"/>
      <c r="T32" s="39"/>
      <c r="U32" s="39"/>
      <c r="V32" s="39"/>
      <c r="W32" s="39"/>
      <c r="X32" s="39"/>
      <c r="Y32" s="39"/>
      <c r="Z32" s="39"/>
      <c r="AA32" s="39"/>
      <c r="AB32" s="39"/>
      <c r="AC32" s="39"/>
      <c r="AE32" s="49"/>
      <c r="AF32" s="49"/>
      <c r="AG32" s="49"/>
      <c r="AH32" s="49"/>
      <c r="AI32" s="49"/>
      <c r="AJ32" s="49"/>
      <c r="AK32" s="49"/>
      <c r="AL32" s="49"/>
    </row>
    <row r="33" spans="2:38" x14ac:dyDescent="0.35">
      <c r="B33" s="39"/>
      <c r="C33" s="39"/>
      <c r="D33" s="39"/>
      <c r="E33" s="39"/>
      <c r="F33" s="39"/>
      <c r="G33" s="39"/>
      <c r="H33" s="39"/>
      <c r="I33" s="39"/>
      <c r="J33" s="39"/>
      <c r="K33" s="39"/>
      <c r="L33" s="39"/>
      <c r="M33" s="39"/>
      <c r="N33" s="39"/>
      <c r="O33" s="39"/>
      <c r="P33" s="39"/>
      <c r="Q33" s="39"/>
      <c r="R33" s="39"/>
      <c r="S33" s="39"/>
      <c r="T33" s="39"/>
      <c r="U33" s="39"/>
      <c r="V33" s="39"/>
      <c r="W33" s="39"/>
      <c r="X33" s="39"/>
      <c r="Y33" s="39"/>
      <c r="Z33" s="39"/>
      <c r="AA33" s="39"/>
      <c r="AB33" s="39"/>
      <c r="AC33" s="39"/>
      <c r="AE33" s="49"/>
      <c r="AF33" s="49"/>
      <c r="AG33" s="49"/>
      <c r="AH33" s="49"/>
      <c r="AI33" s="49"/>
      <c r="AJ33" s="49"/>
      <c r="AK33" s="49"/>
      <c r="AL33" s="49"/>
    </row>
    <row r="34" spans="2:38" x14ac:dyDescent="0.35">
      <c r="B34" s="39"/>
      <c r="C34" s="39"/>
      <c r="D34" s="39"/>
      <c r="E34" s="39"/>
      <c r="F34" s="39"/>
      <c r="G34" s="39"/>
      <c r="H34" s="39"/>
      <c r="I34" s="39"/>
      <c r="J34" s="39"/>
      <c r="K34" s="39"/>
      <c r="L34" s="39"/>
      <c r="M34" s="39"/>
      <c r="N34" s="39"/>
      <c r="O34" s="39"/>
      <c r="P34" s="39"/>
      <c r="Q34" s="39"/>
      <c r="R34" s="39"/>
      <c r="S34" s="39"/>
      <c r="T34" s="39"/>
      <c r="U34" s="39"/>
      <c r="V34" s="39"/>
      <c r="W34" s="39"/>
      <c r="X34" s="39"/>
      <c r="Y34" s="39"/>
      <c r="Z34" s="39"/>
      <c r="AA34" s="39"/>
      <c r="AB34" s="39"/>
      <c r="AC34" s="39"/>
      <c r="AE34" s="49"/>
      <c r="AF34" s="49"/>
      <c r="AG34" s="49"/>
      <c r="AH34" s="49"/>
      <c r="AI34" s="49"/>
      <c r="AJ34" s="49"/>
      <c r="AK34" s="49"/>
      <c r="AL34" s="49"/>
    </row>
    <row r="35" spans="2:38" x14ac:dyDescent="0.35">
      <c r="B35" s="39"/>
      <c r="C35" s="39"/>
      <c r="D35" s="39"/>
      <c r="E35" s="39"/>
      <c r="F35" s="39"/>
      <c r="G35" s="39"/>
      <c r="H35" s="39"/>
      <c r="I35" s="39"/>
      <c r="J35" s="39"/>
      <c r="K35" s="39"/>
      <c r="L35" s="39"/>
      <c r="M35" s="39"/>
      <c r="N35" s="39"/>
      <c r="O35" s="39"/>
      <c r="P35" s="39"/>
      <c r="Q35" s="39"/>
      <c r="R35" s="39"/>
      <c r="S35" s="39"/>
      <c r="T35" s="39"/>
      <c r="U35" s="39"/>
      <c r="V35" s="39"/>
      <c r="W35" s="39"/>
      <c r="X35" s="39"/>
      <c r="Y35" s="39"/>
      <c r="Z35" s="39"/>
      <c r="AA35" s="39"/>
      <c r="AB35" s="39"/>
      <c r="AC35" s="39"/>
      <c r="AE35" s="49"/>
      <c r="AF35" s="49"/>
      <c r="AG35" s="49"/>
      <c r="AH35" s="49"/>
      <c r="AI35" s="49"/>
      <c r="AJ35" s="49"/>
      <c r="AK35" s="49"/>
      <c r="AL35" s="49"/>
    </row>
    <row r="36" spans="2:38" x14ac:dyDescent="0.35">
      <c r="B36" s="39"/>
      <c r="C36" s="39"/>
      <c r="D36" s="39"/>
      <c r="E36" s="39"/>
      <c r="F36" s="39"/>
      <c r="G36" s="39"/>
      <c r="H36" s="39"/>
      <c r="I36" s="39"/>
      <c r="J36" s="39"/>
      <c r="K36" s="39"/>
      <c r="L36" s="39"/>
      <c r="M36" s="39"/>
      <c r="N36" s="39"/>
      <c r="O36" s="39"/>
      <c r="P36" s="39"/>
      <c r="Q36" s="39"/>
      <c r="R36" s="39"/>
      <c r="S36" s="39"/>
      <c r="T36" s="39"/>
      <c r="U36" s="39"/>
      <c r="V36" s="39"/>
      <c r="W36" s="39"/>
      <c r="X36" s="39"/>
      <c r="Y36" s="39"/>
      <c r="Z36" s="39"/>
      <c r="AA36" s="39"/>
      <c r="AB36" s="39"/>
      <c r="AC36" s="39"/>
      <c r="AE36" s="49"/>
      <c r="AF36" s="49"/>
      <c r="AG36" s="49"/>
      <c r="AH36" s="49"/>
      <c r="AI36" s="49"/>
      <c r="AJ36" s="49"/>
      <c r="AK36" s="49"/>
      <c r="AL36" s="49"/>
    </row>
    <row r="37" spans="2:38" x14ac:dyDescent="0.35">
      <c r="B37" s="39"/>
      <c r="C37" s="39"/>
      <c r="D37" s="39"/>
      <c r="E37" s="39"/>
      <c r="F37" s="39"/>
      <c r="G37" s="39"/>
      <c r="H37" s="39"/>
      <c r="I37" s="39"/>
      <c r="J37" s="39"/>
      <c r="K37" s="39"/>
      <c r="L37" s="39"/>
      <c r="M37" s="39"/>
      <c r="N37" s="39"/>
      <c r="O37" s="39"/>
      <c r="P37" s="39"/>
      <c r="Q37" s="39"/>
      <c r="R37" s="39"/>
      <c r="S37" s="39"/>
      <c r="T37" s="39"/>
      <c r="U37" s="39"/>
      <c r="V37" s="39"/>
      <c r="W37" s="39"/>
      <c r="X37" s="39"/>
      <c r="Y37" s="39"/>
      <c r="Z37" s="39"/>
      <c r="AA37" s="39"/>
      <c r="AB37" s="39"/>
      <c r="AC37" s="39"/>
      <c r="AE37" s="49"/>
      <c r="AF37" s="49"/>
      <c r="AG37" s="49"/>
      <c r="AH37" s="49"/>
      <c r="AI37" s="49"/>
      <c r="AJ37" s="49"/>
      <c r="AK37" s="49"/>
      <c r="AL37" s="49"/>
    </row>
    <row r="38" spans="2:38" x14ac:dyDescent="0.35">
      <c r="B38" s="39"/>
      <c r="C38" s="39"/>
      <c r="D38" s="39"/>
      <c r="E38" s="39"/>
      <c r="F38" s="39"/>
      <c r="G38" s="39"/>
      <c r="H38" s="39"/>
      <c r="I38" s="39"/>
      <c r="J38" s="39"/>
      <c r="K38" s="39"/>
      <c r="L38" s="39"/>
      <c r="M38" s="39"/>
      <c r="N38" s="39"/>
      <c r="O38" s="39"/>
      <c r="P38" s="39"/>
      <c r="Q38" s="39"/>
      <c r="R38" s="39"/>
      <c r="S38" s="39"/>
      <c r="T38" s="39"/>
      <c r="U38" s="39"/>
      <c r="V38" s="39"/>
      <c r="W38" s="39"/>
      <c r="X38" s="39"/>
      <c r="Y38" s="39"/>
      <c r="Z38" s="39"/>
      <c r="AA38" s="39"/>
      <c r="AB38" s="39"/>
      <c r="AC38" s="39"/>
      <c r="AE38" s="49"/>
      <c r="AF38" s="49"/>
      <c r="AG38" s="49"/>
      <c r="AH38" s="49"/>
      <c r="AI38" s="49"/>
      <c r="AJ38" s="49"/>
      <c r="AK38" s="49"/>
      <c r="AL38" s="49"/>
    </row>
    <row r="39" spans="2:38" x14ac:dyDescent="0.35">
      <c r="B39" s="39"/>
      <c r="C39" s="39"/>
      <c r="D39" s="39"/>
      <c r="E39" s="39"/>
      <c r="F39" s="39"/>
      <c r="G39" s="39"/>
      <c r="H39" s="39"/>
      <c r="I39" s="39"/>
      <c r="J39" s="39"/>
      <c r="K39" s="39"/>
      <c r="L39" s="39"/>
      <c r="M39" s="39"/>
      <c r="N39" s="39"/>
      <c r="O39" s="39"/>
      <c r="P39" s="39"/>
      <c r="Q39" s="39"/>
      <c r="R39" s="39"/>
      <c r="S39" s="39"/>
      <c r="T39" s="39"/>
      <c r="U39" s="39"/>
      <c r="V39" s="39"/>
      <c r="W39" s="39"/>
      <c r="X39" s="39"/>
      <c r="Y39" s="39"/>
      <c r="Z39" s="39"/>
      <c r="AA39" s="39"/>
      <c r="AB39" s="39"/>
      <c r="AC39" s="39"/>
      <c r="AE39" s="49"/>
      <c r="AF39" s="49"/>
      <c r="AG39" s="49"/>
      <c r="AH39" s="49"/>
      <c r="AI39" s="49"/>
      <c r="AJ39" s="49"/>
      <c r="AK39" s="49"/>
      <c r="AL39" s="49"/>
    </row>
    <row r="40" spans="2:38" x14ac:dyDescent="0.35">
      <c r="B40" s="39"/>
      <c r="C40" s="39"/>
      <c r="D40" s="39"/>
      <c r="E40" s="39"/>
      <c r="F40" s="39"/>
      <c r="G40" s="39"/>
      <c r="H40" s="39"/>
      <c r="I40" s="39"/>
      <c r="J40" s="39"/>
      <c r="K40" s="39"/>
      <c r="L40" s="39"/>
      <c r="M40" s="39"/>
      <c r="N40" s="39"/>
      <c r="O40" s="39"/>
      <c r="P40" s="39"/>
      <c r="Q40" s="39"/>
      <c r="R40" s="39"/>
      <c r="S40" s="39"/>
      <c r="T40" s="39"/>
      <c r="U40" s="39"/>
      <c r="V40" s="39"/>
      <c r="W40" s="39"/>
      <c r="X40" s="39"/>
      <c r="Y40" s="39"/>
      <c r="Z40" s="39"/>
      <c r="AA40" s="39"/>
      <c r="AB40" s="39"/>
      <c r="AC40" s="39"/>
      <c r="AE40" s="49"/>
      <c r="AF40" s="49"/>
      <c r="AG40" s="49"/>
      <c r="AH40" s="49"/>
      <c r="AI40" s="49"/>
      <c r="AJ40" s="49"/>
      <c r="AK40" s="49"/>
      <c r="AL40" s="49"/>
    </row>
    <row r="41" spans="2:38" x14ac:dyDescent="0.35">
      <c r="B41" s="39"/>
      <c r="C41" s="39"/>
      <c r="D41" s="39"/>
      <c r="E41" s="39"/>
      <c r="F41" s="39"/>
      <c r="G41" s="39"/>
      <c r="H41" s="39"/>
      <c r="I41" s="39"/>
      <c r="J41" s="39"/>
      <c r="K41" s="39"/>
      <c r="L41" s="39"/>
      <c r="M41" s="39"/>
      <c r="N41" s="39"/>
      <c r="O41" s="39"/>
      <c r="P41" s="39"/>
      <c r="Q41" s="39"/>
      <c r="R41" s="39"/>
      <c r="S41" s="39"/>
      <c r="T41" s="39"/>
      <c r="U41" s="39"/>
      <c r="V41" s="39"/>
      <c r="W41" s="39"/>
      <c r="X41" s="39"/>
      <c r="Y41" s="39"/>
      <c r="Z41" s="39"/>
      <c r="AA41" s="39"/>
      <c r="AB41" s="39"/>
      <c r="AC41" s="39"/>
      <c r="AE41" s="49"/>
      <c r="AF41" s="49"/>
      <c r="AG41" s="49"/>
      <c r="AH41" s="49"/>
      <c r="AI41" s="49"/>
      <c r="AJ41" s="49"/>
      <c r="AK41" s="49"/>
      <c r="AL41" s="49"/>
    </row>
    <row r="42" spans="2:38" x14ac:dyDescent="0.35">
      <c r="B42" s="39"/>
      <c r="C42" s="39"/>
      <c r="D42" s="39"/>
      <c r="E42" s="39"/>
      <c r="F42" s="39"/>
      <c r="G42" s="39"/>
      <c r="H42" s="39"/>
      <c r="I42" s="39"/>
      <c r="J42" s="39"/>
      <c r="K42" s="39"/>
      <c r="L42" s="39"/>
      <c r="M42" s="39"/>
      <c r="N42" s="39"/>
      <c r="O42" s="39"/>
      <c r="P42" s="39"/>
      <c r="Q42" s="39"/>
      <c r="R42" s="39"/>
      <c r="S42" s="39"/>
      <c r="T42" s="39"/>
      <c r="U42" s="39"/>
      <c r="V42" s="39"/>
      <c r="W42" s="39"/>
      <c r="X42" s="39"/>
      <c r="Y42" s="39"/>
      <c r="Z42" s="39"/>
      <c r="AA42" s="39"/>
      <c r="AB42" s="39"/>
      <c r="AC42" s="39"/>
      <c r="AE42" s="49"/>
      <c r="AF42" s="49"/>
      <c r="AG42" s="49"/>
      <c r="AH42" s="49"/>
      <c r="AI42" s="49"/>
      <c r="AJ42" s="49"/>
      <c r="AK42" s="49"/>
      <c r="AL42" s="49"/>
    </row>
    <row r="43" spans="2:38" x14ac:dyDescent="0.35">
      <c r="B43" s="49"/>
      <c r="C43" s="49"/>
      <c r="D43" s="49"/>
      <c r="E43" s="49"/>
      <c r="F43" s="49"/>
      <c r="G43" s="49"/>
      <c r="H43" s="49"/>
      <c r="I43" s="49"/>
      <c r="J43" s="49"/>
      <c r="K43" s="49"/>
      <c r="L43" s="49"/>
      <c r="M43" s="49"/>
      <c r="N43" s="49"/>
      <c r="O43" s="49"/>
      <c r="P43" s="49"/>
      <c r="Q43" s="49"/>
      <c r="R43" s="49"/>
      <c r="S43" s="49"/>
      <c r="T43" s="49"/>
      <c r="U43" s="49"/>
      <c r="V43" s="49"/>
      <c r="W43" s="49"/>
      <c r="X43" s="49"/>
      <c r="Y43" s="49"/>
      <c r="Z43" s="49"/>
      <c r="AA43" s="49"/>
      <c r="AB43" s="49"/>
      <c r="AE43" s="49"/>
      <c r="AF43" s="49"/>
      <c r="AG43" s="49"/>
      <c r="AH43" s="49"/>
      <c r="AI43" s="49"/>
      <c r="AJ43" s="49"/>
      <c r="AK43" s="49"/>
      <c r="AL43" s="49"/>
    </row>
    <row r="44" spans="2:38" s="49" customFormat="1" x14ac:dyDescent="0.35">
      <c r="B44" s="213"/>
      <c r="C44" s="213"/>
      <c r="D44" s="213"/>
      <c r="E44" s="213"/>
      <c r="F44" s="213"/>
      <c r="G44" s="213"/>
      <c r="H44" s="213"/>
      <c r="I44" s="213"/>
      <c r="J44" s="213"/>
      <c r="K44" s="213"/>
      <c r="L44" s="213"/>
      <c r="M44" s="213"/>
      <c r="N44" s="213"/>
      <c r="O44" s="213"/>
      <c r="P44" s="213"/>
      <c r="Q44" s="213"/>
      <c r="R44" s="213"/>
      <c r="S44" s="213"/>
      <c r="T44" s="213"/>
      <c r="U44" s="213"/>
      <c r="V44" s="213"/>
      <c r="W44" s="213"/>
      <c r="X44" s="213"/>
      <c r="Y44" s="213"/>
      <c r="Z44" s="213"/>
      <c r="AA44" s="213"/>
      <c r="AB44" s="213"/>
      <c r="AC44" s="213"/>
    </row>
    <row r="45" spans="2:38" s="49" customFormat="1" x14ac:dyDescent="0.35">
      <c r="B45" s="212" t="s">
        <v>9</v>
      </c>
      <c r="C45" s="212"/>
      <c r="D45" s="212" t="s">
        <v>398</v>
      </c>
      <c r="E45" s="213"/>
      <c r="F45" s="213"/>
      <c r="G45" s="213"/>
      <c r="H45" s="213"/>
      <c r="I45" s="213"/>
      <c r="J45" s="213"/>
      <c r="K45" s="213"/>
      <c r="L45" s="213"/>
      <c r="M45" s="213"/>
      <c r="N45" s="213"/>
      <c r="O45" s="213"/>
      <c r="P45" s="213"/>
      <c r="Q45" s="213"/>
      <c r="R45" s="213"/>
      <c r="S45" s="213"/>
      <c r="T45" s="213"/>
      <c r="U45" s="213"/>
      <c r="V45" s="213"/>
      <c r="W45" s="213"/>
      <c r="X45" s="213"/>
      <c r="Y45" s="213"/>
      <c r="Z45" s="213"/>
      <c r="AA45" s="213"/>
      <c r="AB45" s="213"/>
      <c r="AC45" s="213"/>
    </row>
    <row r="46" spans="2:38" s="49" customFormat="1" x14ac:dyDescent="0.35">
      <c r="B46" s="212"/>
      <c r="C46" s="212"/>
      <c r="D46" s="212"/>
      <c r="E46" s="213"/>
      <c r="F46" s="213"/>
      <c r="G46" s="213"/>
      <c r="H46" s="213"/>
      <c r="I46" s="213"/>
      <c r="J46" s="213"/>
      <c r="K46" s="213"/>
      <c r="L46" s="213"/>
      <c r="M46" s="213"/>
      <c r="N46" s="213"/>
      <c r="O46" s="213"/>
      <c r="P46" s="213"/>
      <c r="Q46" s="213"/>
      <c r="R46" s="213"/>
      <c r="S46" s="213"/>
      <c r="T46" s="213"/>
      <c r="U46" s="213"/>
      <c r="V46" s="213"/>
      <c r="W46" s="213"/>
      <c r="X46" s="213"/>
      <c r="Y46" s="213"/>
      <c r="Z46" s="213"/>
      <c r="AA46" s="213"/>
      <c r="AB46" s="213"/>
      <c r="AC46" s="213"/>
    </row>
    <row r="47" spans="2:38" s="49" customFormat="1" x14ac:dyDescent="0.35">
      <c r="B47" s="212"/>
      <c r="C47" s="212" t="s">
        <v>345</v>
      </c>
      <c r="D47" s="212" t="s">
        <v>120</v>
      </c>
      <c r="E47" s="213"/>
      <c r="F47" s="213"/>
      <c r="G47" s="213"/>
      <c r="H47" s="213"/>
      <c r="I47" s="213"/>
      <c r="J47" s="213"/>
      <c r="K47" s="213"/>
      <c r="L47" s="213"/>
      <c r="M47" s="213"/>
      <c r="N47" s="213"/>
      <c r="O47" s="213"/>
      <c r="P47" s="213"/>
      <c r="Q47" s="213"/>
      <c r="R47" s="213"/>
      <c r="S47" s="213"/>
      <c r="T47" s="213"/>
      <c r="U47" s="213"/>
      <c r="V47" s="213"/>
      <c r="W47" s="213"/>
      <c r="X47" s="213"/>
      <c r="Y47" s="213"/>
      <c r="Z47" s="213"/>
      <c r="AA47" s="213"/>
      <c r="AB47" s="213"/>
      <c r="AC47" s="213"/>
    </row>
    <row r="48" spans="2:38" s="49" customFormat="1" x14ac:dyDescent="0.35">
      <c r="B48" s="212"/>
      <c r="C48" s="212"/>
      <c r="D48" s="212" t="s">
        <v>337</v>
      </c>
      <c r="E48" s="213"/>
      <c r="F48" s="213"/>
      <c r="G48" s="213"/>
      <c r="H48" s="213"/>
      <c r="I48" s="213"/>
      <c r="J48" s="213"/>
      <c r="K48" s="213"/>
      <c r="L48" s="213"/>
      <c r="M48" s="213"/>
      <c r="N48" s="213"/>
      <c r="O48" s="213"/>
      <c r="P48" s="213"/>
      <c r="Q48" s="213"/>
      <c r="R48" s="213"/>
      <c r="S48" s="213"/>
      <c r="T48" s="213"/>
      <c r="U48" s="213"/>
      <c r="V48" s="213"/>
      <c r="W48" s="213"/>
      <c r="X48" s="213"/>
      <c r="Y48" s="213"/>
      <c r="Z48" s="213"/>
      <c r="AA48" s="213"/>
      <c r="AB48" s="213"/>
      <c r="AC48" s="213"/>
    </row>
    <row r="49" spans="2:29" s="49" customFormat="1" x14ac:dyDescent="0.35">
      <c r="B49" s="212"/>
      <c r="C49" s="212"/>
      <c r="D49" s="212" t="s">
        <v>338</v>
      </c>
      <c r="E49" s="213"/>
      <c r="F49" s="213"/>
      <c r="G49" s="213"/>
      <c r="H49" s="213"/>
      <c r="I49" s="213"/>
      <c r="J49" s="213"/>
      <c r="K49" s="213"/>
      <c r="L49" s="213"/>
      <c r="M49" s="213"/>
      <c r="N49" s="213"/>
      <c r="O49" s="213"/>
      <c r="P49" s="213"/>
      <c r="Q49" s="213"/>
      <c r="R49" s="213"/>
      <c r="S49" s="213"/>
      <c r="T49" s="213"/>
      <c r="U49" s="213"/>
      <c r="V49" s="213"/>
      <c r="W49" s="213"/>
      <c r="X49" s="213"/>
      <c r="Y49" s="213"/>
      <c r="Z49" s="213"/>
      <c r="AA49" s="213"/>
      <c r="AB49" s="213"/>
      <c r="AC49" s="213"/>
    </row>
    <row r="50" spans="2:29" s="49" customFormat="1" x14ac:dyDescent="0.35">
      <c r="B50" s="212"/>
      <c r="C50" s="212"/>
      <c r="D50" s="212" t="s">
        <v>339</v>
      </c>
      <c r="E50" s="213"/>
      <c r="F50" s="213"/>
      <c r="G50" s="213"/>
      <c r="H50" s="213"/>
      <c r="I50" s="213"/>
      <c r="J50" s="213"/>
      <c r="K50" s="213"/>
      <c r="L50" s="213"/>
      <c r="M50" s="213"/>
      <c r="N50" s="213"/>
      <c r="O50" s="213"/>
      <c r="P50" s="213"/>
      <c r="Q50" s="213"/>
      <c r="R50" s="213"/>
      <c r="S50" s="213"/>
      <c r="T50" s="213"/>
      <c r="U50" s="213"/>
      <c r="V50" s="213"/>
      <c r="W50" s="213"/>
      <c r="X50" s="213"/>
      <c r="Y50" s="213"/>
      <c r="Z50" s="213"/>
      <c r="AA50" s="213"/>
      <c r="AB50" s="213"/>
      <c r="AC50" s="213"/>
    </row>
    <row r="51" spans="2:29" s="49" customFormat="1" x14ac:dyDescent="0.35">
      <c r="B51" s="212"/>
      <c r="C51" s="212"/>
      <c r="D51" s="212"/>
      <c r="E51" s="213"/>
      <c r="F51" s="213"/>
      <c r="G51" s="213"/>
      <c r="H51" s="213"/>
      <c r="I51" s="213"/>
      <c r="J51" s="213"/>
      <c r="K51" s="213"/>
      <c r="L51" s="213"/>
      <c r="M51" s="213"/>
      <c r="N51" s="213"/>
      <c r="O51" s="213"/>
      <c r="P51" s="213"/>
      <c r="Q51" s="213"/>
      <c r="R51" s="213"/>
      <c r="S51" s="213"/>
      <c r="T51" s="213"/>
      <c r="U51" s="213"/>
      <c r="V51" s="213"/>
      <c r="W51" s="213"/>
      <c r="X51" s="213"/>
      <c r="Y51" s="213"/>
      <c r="Z51" s="213"/>
      <c r="AA51" s="213"/>
      <c r="AB51" s="213"/>
      <c r="AC51" s="213"/>
    </row>
    <row r="52" spans="2:29" s="49" customFormat="1" x14ac:dyDescent="0.35">
      <c r="B52" s="212"/>
      <c r="C52" s="212" t="s">
        <v>346</v>
      </c>
      <c r="D52" s="212" t="s">
        <v>120</v>
      </c>
      <c r="E52" s="213"/>
      <c r="F52" s="213"/>
      <c r="G52" s="213"/>
      <c r="H52" s="213"/>
      <c r="I52" s="213"/>
      <c r="J52" s="213"/>
      <c r="K52" s="213"/>
      <c r="L52" s="213"/>
      <c r="M52" s="213"/>
      <c r="N52" s="213"/>
      <c r="O52" s="213"/>
      <c r="P52" s="213"/>
      <c r="Q52" s="213"/>
      <c r="R52" s="213"/>
      <c r="S52" s="213"/>
      <c r="T52" s="213"/>
      <c r="U52" s="213"/>
      <c r="V52" s="213"/>
      <c r="W52" s="213"/>
      <c r="X52" s="213"/>
      <c r="Y52" s="213"/>
      <c r="Z52" s="213"/>
      <c r="AA52" s="213"/>
      <c r="AB52" s="213"/>
      <c r="AC52" s="213"/>
    </row>
    <row r="53" spans="2:29" s="49" customFormat="1" x14ac:dyDescent="0.35">
      <c r="B53" s="212"/>
      <c r="C53" s="212"/>
      <c r="D53" s="212" t="s">
        <v>337</v>
      </c>
      <c r="E53" s="213"/>
      <c r="F53" s="213"/>
      <c r="G53" s="213"/>
      <c r="H53" s="213"/>
      <c r="I53" s="213"/>
      <c r="J53" s="213"/>
      <c r="K53" s="213"/>
      <c r="L53" s="213"/>
      <c r="M53" s="213"/>
      <c r="N53" s="213"/>
      <c r="O53" s="213"/>
      <c r="P53" s="213"/>
      <c r="Q53" s="213"/>
      <c r="R53" s="213"/>
      <c r="S53" s="213"/>
      <c r="T53" s="213"/>
      <c r="U53" s="213"/>
      <c r="V53" s="213"/>
      <c r="W53" s="213"/>
      <c r="X53" s="213"/>
      <c r="Y53" s="213"/>
      <c r="Z53" s="213"/>
      <c r="AA53" s="213"/>
      <c r="AB53" s="213"/>
      <c r="AC53" s="213"/>
    </row>
    <row r="54" spans="2:29" s="49" customFormat="1" x14ac:dyDescent="0.35">
      <c r="B54" s="212"/>
      <c r="C54" s="212"/>
      <c r="D54" s="212" t="s">
        <v>338</v>
      </c>
      <c r="E54" s="213"/>
      <c r="F54" s="213"/>
      <c r="G54" s="213"/>
      <c r="H54" s="213"/>
      <c r="I54" s="213"/>
      <c r="J54" s="213"/>
      <c r="K54" s="213"/>
      <c r="L54" s="213"/>
      <c r="M54" s="213"/>
      <c r="N54" s="213"/>
      <c r="O54" s="213"/>
      <c r="P54" s="213"/>
      <c r="Q54" s="213"/>
      <c r="R54" s="213"/>
      <c r="S54" s="213"/>
      <c r="T54" s="213"/>
      <c r="U54" s="213"/>
      <c r="V54" s="213"/>
      <c r="W54" s="213"/>
      <c r="X54" s="213"/>
      <c r="Y54" s="213"/>
      <c r="Z54" s="213"/>
      <c r="AA54" s="213"/>
      <c r="AB54" s="213"/>
      <c r="AC54" s="213"/>
    </row>
    <row r="55" spans="2:29" s="49" customFormat="1" x14ac:dyDescent="0.35">
      <c r="B55" s="212"/>
      <c r="C55" s="212"/>
      <c r="D55" s="212" t="s">
        <v>339</v>
      </c>
      <c r="E55" s="213"/>
      <c r="F55" s="213"/>
      <c r="G55" s="213"/>
      <c r="H55" s="213"/>
      <c r="I55" s="213"/>
      <c r="J55" s="213"/>
      <c r="K55" s="213"/>
      <c r="L55" s="213"/>
      <c r="M55" s="213"/>
      <c r="N55" s="213"/>
      <c r="O55" s="213"/>
      <c r="P55" s="213"/>
      <c r="Q55" s="213"/>
      <c r="R55" s="213"/>
      <c r="S55" s="213"/>
      <c r="T55" s="213"/>
      <c r="U55" s="213"/>
      <c r="V55" s="213"/>
      <c r="W55" s="213"/>
      <c r="X55" s="213"/>
      <c r="Y55" s="213"/>
      <c r="Z55" s="213"/>
      <c r="AA55" s="213"/>
      <c r="AB55" s="213"/>
      <c r="AC55" s="213"/>
    </row>
    <row r="56" spans="2:29" s="49" customFormat="1" x14ac:dyDescent="0.35">
      <c r="B56" s="212"/>
      <c r="C56" s="212"/>
      <c r="D56" s="212"/>
      <c r="E56" s="213"/>
      <c r="F56" s="213"/>
      <c r="G56" s="213"/>
      <c r="H56" s="213"/>
      <c r="I56" s="213"/>
      <c r="J56" s="213"/>
      <c r="K56" s="213"/>
      <c r="L56" s="213"/>
      <c r="M56" s="213"/>
      <c r="N56" s="213"/>
      <c r="O56" s="213"/>
      <c r="P56" s="213"/>
      <c r="Q56" s="213"/>
      <c r="R56" s="213"/>
      <c r="S56" s="213"/>
      <c r="T56" s="213"/>
      <c r="U56" s="213"/>
      <c r="V56" s="213"/>
      <c r="W56" s="213"/>
      <c r="X56" s="213"/>
      <c r="Y56" s="213"/>
      <c r="Z56" s="213"/>
      <c r="AA56" s="213"/>
      <c r="AB56" s="213"/>
      <c r="AC56" s="213"/>
    </row>
    <row r="57" spans="2:29" s="49" customFormat="1" x14ac:dyDescent="0.35">
      <c r="B57" s="212"/>
      <c r="C57" s="212" t="s">
        <v>341</v>
      </c>
      <c r="D57" s="212" t="s">
        <v>120</v>
      </c>
      <c r="E57" s="213"/>
      <c r="F57" s="213"/>
      <c r="G57" s="213"/>
      <c r="H57" s="213"/>
      <c r="I57" s="213"/>
      <c r="J57" s="213"/>
      <c r="K57" s="213"/>
      <c r="L57" s="213"/>
      <c r="M57" s="213"/>
      <c r="N57" s="213"/>
      <c r="O57" s="213"/>
      <c r="P57" s="213"/>
      <c r="Q57" s="213"/>
      <c r="R57" s="213"/>
      <c r="S57" s="213"/>
      <c r="T57" s="213"/>
      <c r="U57" s="213"/>
      <c r="V57" s="213"/>
      <c r="W57" s="213"/>
      <c r="X57" s="213"/>
      <c r="Y57" s="213"/>
      <c r="Z57" s="213"/>
      <c r="AA57" s="213"/>
      <c r="AB57" s="213"/>
      <c r="AC57" s="213"/>
    </row>
    <row r="58" spans="2:29" s="49" customFormat="1" x14ac:dyDescent="0.35">
      <c r="B58" s="212"/>
      <c r="C58" s="212"/>
      <c r="D58" s="212" t="s">
        <v>337</v>
      </c>
      <c r="E58" s="213"/>
      <c r="F58" s="213"/>
      <c r="G58" s="213"/>
      <c r="H58" s="213"/>
      <c r="I58" s="213"/>
      <c r="J58" s="213"/>
      <c r="K58" s="213"/>
      <c r="L58" s="213"/>
      <c r="M58" s="213"/>
      <c r="N58" s="213"/>
      <c r="O58" s="213"/>
      <c r="P58" s="213"/>
      <c r="Q58" s="213"/>
      <c r="R58" s="213"/>
      <c r="S58" s="213"/>
      <c r="T58" s="213"/>
      <c r="U58" s="213"/>
      <c r="V58" s="213"/>
      <c r="W58" s="213"/>
      <c r="X58" s="213"/>
      <c r="Y58" s="213"/>
      <c r="Z58" s="213"/>
      <c r="AA58" s="213"/>
      <c r="AB58" s="213"/>
      <c r="AC58" s="213"/>
    </row>
    <row r="59" spans="2:29" s="49" customFormat="1" x14ac:dyDescent="0.35">
      <c r="B59" s="212"/>
      <c r="C59" s="212"/>
      <c r="D59" s="212" t="s">
        <v>338</v>
      </c>
      <c r="E59" s="213"/>
      <c r="F59" s="213"/>
      <c r="G59" s="213"/>
      <c r="H59" s="213"/>
      <c r="I59" s="213"/>
      <c r="J59" s="213"/>
      <c r="K59" s="213"/>
      <c r="L59" s="213"/>
      <c r="M59" s="213"/>
      <c r="N59" s="213"/>
      <c r="O59" s="213"/>
      <c r="P59" s="213"/>
      <c r="Q59" s="213"/>
      <c r="R59" s="213"/>
      <c r="S59" s="213"/>
      <c r="T59" s="213"/>
      <c r="U59" s="213"/>
      <c r="V59" s="213"/>
      <c r="W59" s="213"/>
      <c r="X59" s="213"/>
      <c r="Y59" s="213"/>
      <c r="Z59" s="213"/>
      <c r="AA59" s="213"/>
      <c r="AB59" s="213"/>
      <c r="AC59" s="213"/>
    </row>
    <row r="60" spans="2:29" s="49" customFormat="1" x14ac:dyDescent="0.35">
      <c r="B60" s="212"/>
      <c r="C60" s="212"/>
      <c r="D60" s="212" t="s">
        <v>339</v>
      </c>
      <c r="E60" s="213"/>
      <c r="F60" s="213"/>
      <c r="G60" s="213"/>
      <c r="H60" s="213"/>
      <c r="I60" s="213"/>
      <c r="J60" s="213"/>
      <c r="K60" s="213"/>
      <c r="L60" s="213"/>
      <c r="M60" s="213"/>
      <c r="N60" s="213"/>
      <c r="O60" s="213"/>
      <c r="P60" s="213"/>
      <c r="Q60" s="213"/>
      <c r="R60" s="213"/>
      <c r="S60" s="213"/>
      <c r="T60" s="213"/>
      <c r="U60" s="213"/>
      <c r="V60" s="213"/>
      <c r="W60" s="213"/>
      <c r="X60" s="213"/>
      <c r="Y60" s="213"/>
      <c r="Z60" s="213"/>
      <c r="AA60" s="213"/>
      <c r="AB60" s="213"/>
      <c r="AC60" s="213"/>
    </row>
    <row r="61" spans="2:29" s="49" customFormat="1" x14ac:dyDescent="0.35">
      <c r="B61" s="212"/>
      <c r="C61" s="212"/>
      <c r="D61" s="212"/>
      <c r="E61" s="213"/>
      <c r="F61" s="213"/>
      <c r="G61" s="213"/>
      <c r="H61" s="213"/>
      <c r="I61" s="213"/>
      <c r="J61" s="213"/>
      <c r="K61" s="213"/>
      <c r="L61" s="213"/>
      <c r="M61" s="213"/>
      <c r="N61" s="213"/>
      <c r="O61" s="213"/>
      <c r="P61" s="213"/>
      <c r="Q61" s="213"/>
      <c r="R61" s="213"/>
      <c r="S61" s="213"/>
      <c r="T61" s="213"/>
      <c r="U61" s="213"/>
      <c r="V61" s="213"/>
      <c r="W61" s="213"/>
      <c r="X61" s="213"/>
      <c r="Y61" s="213"/>
      <c r="Z61" s="213"/>
      <c r="AA61" s="213"/>
      <c r="AB61" s="213"/>
      <c r="AC61" s="213"/>
    </row>
    <row r="62" spans="2:29" s="49" customFormat="1" x14ac:dyDescent="0.35">
      <c r="B62" s="212"/>
      <c r="C62" s="212" t="s">
        <v>340</v>
      </c>
      <c r="D62" s="212" t="s">
        <v>120</v>
      </c>
      <c r="E62" s="213"/>
      <c r="F62" s="213"/>
      <c r="G62" s="213"/>
      <c r="H62" s="213"/>
      <c r="I62" s="213"/>
      <c r="J62" s="213"/>
      <c r="K62" s="213"/>
      <c r="L62" s="213"/>
      <c r="M62" s="213"/>
      <c r="N62" s="213"/>
      <c r="O62" s="213"/>
      <c r="P62" s="213"/>
      <c r="Q62" s="213"/>
      <c r="R62" s="213"/>
      <c r="S62" s="213"/>
      <c r="T62" s="213"/>
      <c r="U62" s="213"/>
      <c r="V62" s="213"/>
      <c r="W62" s="213"/>
      <c r="X62" s="213"/>
      <c r="Y62" s="213"/>
      <c r="Z62" s="213"/>
      <c r="AA62" s="213"/>
      <c r="AB62" s="213"/>
      <c r="AC62" s="213"/>
    </row>
    <row r="63" spans="2:29" s="49" customFormat="1" x14ac:dyDescent="0.35">
      <c r="B63" s="212"/>
      <c r="C63" s="212"/>
      <c r="D63" s="212" t="s">
        <v>337</v>
      </c>
      <c r="E63" s="213"/>
      <c r="F63" s="213"/>
      <c r="G63" s="213"/>
      <c r="H63" s="213"/>
      <c r="I63" s="213"/>
      <c r="J63" s="213"/>
      <c r="K63" s="213"/>
      <c r="L63" s="213"/>
      <c r="M63" s="213"/>
      <c r="N63" s="213"/>
      <c r="O63" s="213"/>
      <c r="P63" s="213"/>
      <c r="Q63" s="213"/>
      <c r="R63" s="213"/>
      <c r="S63" s="213"/>
      <c r="T63" s="213"/>
      <c r="U63" s="213"/>
      <c r="V63" s="213"/>
      <c r="W63" s="213"/>
      <c r="X63" s="213"/>
      <c r="Y63" s="213"/>
      <c r="Z63" s="213"/>
      <c r="AA63" s="213"/>
      <c r="AB63" s="213"/>
      <c r="AC63" s="213"/>
    </row>
    <row r="64" spans="2:29" s="49" customFormat="1" x14ac:dyDescent="0.35">
      <c r="B64" s="212"/>
      <c r="C64" s="212"/>
      <c r="D64" s="212" t="s">
        <v>338</v>
      </c>
      <c r="E64" s="213"/>
      <c r="F64" s="213"/>
      <c r="G64" s="213"/>
      <c r="H64" s="213"/>
      <c r="I64" s="213"/>
      <c r="J64" s="213"/>
      <c r="K64" s="213"/>
      <c r="L64" s="213"/>
      <c r="M64" s="213"/>
      <c r="N64" s="213"/>
      <c r="O64" s="213"/>
      <c r="P64" s="213"/>
      <c r="Q64" s="213"/>
      <c r="R64" s="213"/>
      <c r="S64" s="213"/>
      <c r="T64" s="213"/>
      <c r="U64" s="213"/>
      <c r="V64" s="213"/>
      <c r="W64" s="213"/>
      <c r="X64" s="213"/>
      <c r="Y64" s="213"/>
      <c r="Z64" s="213"/>
      <c r="AA64" s="213"/>
      <c r="AB64" s="213"/>
      <c r="AC64" s="213"/>
    </row>
    <row r="65" spans="2:29" s="49" customFormat="1" x14ac:dyDescent="0.35">
      <c r="B65" s="212"/>
      <c r="C65" s="212"/>
      <c r="D65" s="212" t="s">
        <v>339</v>
      </c>
      <c r="E65" s="213"/>
      <c r="F65" s="213"/>
      <c r="G65" s="213"/>
      <c r="H65" s="213"/>
      <c r="I65" s="213"/>
      <c r="J65" s="213"/>
      <c r="K65" s="213"/>
      <c r="L65" s="213"/>
      <c r="M65" s="213"/>
      <c r="N65" s="213"/>
      <c r="O65" s="213"/>
      <c r="P65" s="213"/>
      <c r="Q65" s="213"/>
      <c r="R65" s="213"/>
      <c r="S65" s="213"/>
      <c r="T65" s="213"/>
      <c r="U65" s="213"/>
      <c r="V65" s="213"/>
      <c r="W65" s="213"/>
      <c r="X65" s="213"/>
      <c r="Y65" s="213"/>
      <c r="Z65" s="213"/>
      <c r="AA65" s="213"/>
      <c r="AB65" s="213"/>
      <c r="AC65" s="213"/>
    </row>
    <row r="66" spans="2:29" s="49" customFormat="1" x14ac:dyDescent="0.35">
      <c r="B66" s="212"/>
      <c r="C66" s="212"/>
      <c r="D66" s="212"/>
      <c r="E66" s="213"/>
      <c r="F66" s="213"/>
      <c r="G66" s="213"/>
      <c r="H66" s="213"/>
      <c r="I66" s="213"/>
      <c r="J66" s="213"/>
      <c r="K66" s="213"/>
      <c r="L66" s="213"/>
      <c r="M66" s="213"/>
      <c r="N66" s="213"/>
      <c r="O66" s="213"/>
      <c r="P66" s="213"/>
      <c r="Q66" s="213"/>
      <c r="R66" s="213"/>
      <c r="S66" s="213"/>
      <c r="T66" s="213"/>
      <c r="U66" s="213"/>
      <c r="V66" s="213"/>
      <c r="W66" s="213"/>
      <c r="X66" s="213"/>
      <c r="Y66" s="213"/>
      <c r="Z66" s="213"/>
      <c r="AA66" s="213"/>
      <c r="AB66" s="213"/>
      <c r="AC66" s="213"/>
    </row>
    <row r="67" spans="2:29" s="49" customFormat="1" x14ac:dyDescent="0.35">
      <c r="B67" s="212" t="s">
        <v>10</v>
      </c>
      <c r="C67" s="212"/>
      <c r="D67" s="212" t="s">
        <v>399</v>
      </c>
      <c r="E67" s="213"/>
      <c r="F67" s="213"/>
      <c r="G67" s="213"/>
      <c r="H67" s="213"/>
      <c r="I67" s="213"/>
      <c r="J67" s="213"/>
      <c r="K67" s="213"/>
      <c r="L67" s="213"/>
      <c r="M67" s="213"/>
      <c r="N67" s="213"/>
      <c r="O67" s="213"/>
      <c r="P67" s="213"/>
      <c r="Q67" s="213"/>
      <c r="R67" s="213"/>
      <c r="S67" s="213"/>
      <c r="T67" s="213"/>
      <c r="U67" s="213"/>
      <c r="V67" s="213"/>
      <c r="W67" s="213"/>
      <c r="X67" s="213"/>
      <c r="Y67" s="213"/>
      <c r="Z67" s="213"/>
      <c r="AA67" s="213"/>
      <c r="AB67" s="213"/>
      <c r="AC67" s="213"/>
    </row>
    <row r="68" spans="2:29" s="49" customFormat="1" x14ac:dyDescent="0.35">
      <c r="B68" s="212"/>
      <c r="C68" s="212"/>
      <c r="D68" s="212" t="s">
        <v>342</v>
      </c>
      <c r="E68" s="213"/>
      <c r="F68" s="213"/>
      <c r="G68" s="213"/>
      <c r="H68" s="213"/>
      <c r="I68" s="213"/>
      <c r="J68" s="213"/>
      <c r="K68" s="213"/>
      <c r="L68" s="213"/>
      <c r="M68" s="213"/>
      <c r="N68" s="213"/>
      <c r="O68" s="213"/>
      <c r="P68" s="213"/>
      <c r="Q68" s="213"/>
      <c r="R68" s="213"/>
      <c r="S68" s="213"/>
      <c r="T68" s="213"/>
      <c r="U68" s="213"/>
      <c r="V68" s="213"/>
      <c r="W68" s="213"/>
      <c r="X68" s="213"/>
      <c r="Y68" s="213"/>
      <c r="Z68" s="213"/>
      <c r="AA68" s="213"/>
      <c r="AB68" s="213"/>
      <c r="AC68" s="213"/>
    </row>
    <row r="69" spans="2:29" s="49" customFormat="1" x14ac:dyDescent="0.35">
      <c r="B69" s="212"/>
      <c r="C69" s="212"/>
      <c r="D69" s="212" t="s">
        <v>343</v>
      </c>
      <c r="E69" s="213"/>
      <c r="F69" s="213"/>
      <c r="G69" s="213"/>
      <c r="H69" s="213"/>
      <c r="I69" s="213"/>
      <c r="J69" s="213"/>
      <c r="K69" s="213"/>
      <c r="L69" s="213"/>
      <c r="M69" s="213"/>
      <c r="N69" s="213"/>
      <c r="O69" s="213"/>
      <c r="P69" s="213"/>
      <c r="Q69" s="213"/>
      <c r="R69" s="213"/>
      <c r="S69" s="213"/>
      <c r="T69" s="213"/>
      <c r="U69" s="213"/>
      <c r="V69" s="213"/>
      <c r="W69" s="213"/>
      <c r="X69" s="213"/>
      <c r="Y69" s="213"/>
      <c r="Z69" s="213"/>
      <c r="AA69" s="213"/>
      <c r="AB69" s="213"/>
      <c r="AC69" s="213"/>
    </row>
    <row r="70" spans="2:29" s="49" customFormat="1" x14ac:dyDescent="0.35">
      <c r="B70" s="212"/>
      <c r="C70" s="212"/>
      <c r="D70" s="212" t="s">
        <v>344</v>
      </c>
      <c r="E70" s="213"/>
      <c r="F70" s="213"/>
      <c r="G70" s="213"/>
      <c r="H70" s="213"/>
      <c r="I70" s="213"/>
      <c r="J70" s="213"/>
      <c r="K70" s="213"/>
      <c r="L70" s="213"/>
      <c r="M70" s="213"/>
      <c r="N70" s="213"/>
      <c r="O70" s="213"/>
      <c r="P70" s="213"/>
      <c r="Q70" s="213"/>
      <c r="R70" s="213"/>
      <c r="S70" s="213"/>
      <c r="T70" s="213"/>
      <c r="U70" s="213"/>
      <c r="V70" s="213"/>
      <c r="W70" s="213"/>
      <c r="X70" s="213"/>
      <c r="Y70" s="213"/>
      <c r="Z70" s="213"/>
      <c r="AA70" s="213"/>
      <c r="AB70" s="213"/>
      <c r="AC70" s="213"/>
    </row>
    <row r="71" spans="2:29" s="49" customFormat="1" x14ac:dyDescent="0.35">
      <c r="B71" s="212"/>
      <c r="C71" s="212"/>
      <c r="D71" s="212" t="s">
        <v>347</v>
      </c>
      <c r="E71" s="213"/>
      <c r="F71" s="213"/>
      <c r="G71" s="213"/>
      <c r="H71" s="213"/>
      <c r="I71" s="213"/>
      <c r="J71" s="213"/>
      <c r="K71" s="213"/>
      <c r="L71" s="213"/>
      <c r="M71" s="213"/>
      <c r="N71" s="213"/>
      <c r="O71" s="213"/>
      <c r="P71" s="213"/>
      <c r="Q71" s="213"/>
      <c r="R71" s="213"/>
      <c r="S71" s="213"/>
      <c r="T71" s="213"/>
      <c r="U71" s="213"/>
      <c r="V71" s="213"/>
      <c r="W71" s="213"/>
      <c r="X71" s="213"/>
      <c r="Y71" s="213"/>
      <c r="Z71" s="213"/>
      <c r="AA71" s="213"/>
      <c r="AB71" s="213"/>
      <c r="AC71" s="213"/>
    </row>
    <row r="72" spans="2:29" s="49" customFormat="1" x14ac:dyDescent="0.35">
      <c r="B72" s="212"/>
      <c r="C72" s="212"/>
      <c r="D72" s="212" t="s">
        <v>340</v>
      </c>
      <c r="E72" s="213"/>
      <c r="F72" s="213"/>
      <c r="G72" s="213"/>
      <c r="H72" s="213"/>
      <c r="I72" s="213"/>
      <c r="J72" s="213"/>
      <c r="K72" s="213"/>
      <c r="L72" s="213"/>
      <c r="M72" s="213"/>
      <c r="N72" s="213"/>
      <c r="O72" s="213"/>
      <c r="P72" s="213"/>
      <c r="Q72" s="213"/>
      <c r="R72" s="213"/>
      <c r="S72" s="213"/>
      <c r="T72" s="213"/>
      <c r="U72" s="213"/>
      <c r="V72" s="213"/>
      <c r="W72" s="213"/>
      <c r="X72" s="213"/>
      <c r="Y72" s="213"/>
      <c r="Z72" s="213"/>
      <c r="AA72" s="213"/>
      <c r="AB72" s="213"/>
      <c r="AC72" s="213"/>
    </row>
    <row r="73" spans="2:29" s="49" customFormat="1" x14ac:dyDescent="0.35">
      <c r="B73" s="212"/>
      <c r="C73" s="212"/>
      <c r="D73" s="212"/>
      <c r="E73" s="213"/>
      <c r="F73" s="213"/>
      <c r="G73" s="213"/>
      <c r="H73" s="213"/>
      <c r="I73" s="213"/>
      <c r="J73" s="213"/>
      <c r="K73" s="213"/>
      <c r="L73" s="213"/>
      <c r="M73" s="213"/>
      <c r="N73" s="213"/>
      <c r="O73" s="213"/>
      <c r="P73" s="213"/>
      <c r="Q73" s="213"/>
      <c r="R73" s="213"/>
      <c r="S73" s="213"/>
      <c r="T73" s="213"/>
      <c r="U73" s="213"/>
      <c r="V73" s="213"/>
      <c r="W73" s="213"/>
      <c r="X73" s="213"/>
      <c r="Y73" s="213"/>
      <c r="Z73" s="213"/>
      <c r="AA73" s="213"/>
      <c r="AB73" s="213"/>
      <c r="AC73" s="213"/>
    </row>
    <row r="74" spans="2:29" s="49" customFormat="1" x14ac:dyDescent="0.35">
      <c r="B74" s="212" t="s">
        <v>48</v>
      </c>
      <c r="C74" s="212"/>
      <c r="D74" s="212" t="s">
        <v>400</v>
      </c>
      <c r="E74" s="213"/>
      <c r="F74" s="213"/>
      <c r="G74" s="213"/>
      <c r="H74" s="213"/>
      <c r="I74" s="213"/>
      <c r="J74" s="213"/>
      <c r="K74" s="213"/>
      <c r="L74" s="213"/>
      <c r="M74" s="213"/>
      <c r="N74" s="213"/>
      <c r="O74" s="213"/>
      <c r="P74" s="213"/>
      <c r="Q74" s="213"/>
      <c r="R74" s="213"/>
      <c r="S74" s="213"/>
      <c r="T74" s="213"/>
      <c r="U74" s="213"/>
      <c r="V74" s="213"/>
      <c r="W74" s="213"/>
      <c r="X74" s="213"/>
      <c r="Y74" s="213"/>
      <c r="Z74" s="213"/>
      <c r="AA74" s="213"/>
      <c r="AB74" s="213"/>
      <c r="AC74" s="213"/>
    </row>
    <row r="75" spans="2:29" s="49" customFormat="1" x14ac:dyDescent="0.35">
      <c r="B75" s="212"/>
      <c r="C75" s="212"/>
      <c r="D75" s="212" t="s">
        <v>345</v>
      </c>
      <c r="E75" s="213"/>
      <c r="F75" s="213"/>
      <c r="G75" s="213"/>
      <c r="H75" s="213"/>
      <c r="I75" s="213"/>
      <c r="J75" s="213"/>
      <c r="K75" s="213"/>
      <c r="L75" s="213"/>
      <c r="M75" s="213"/>
      <c r="N75" s="213"/>
      <c r="O75" s="213"/>
      <c r="P75" s="213"/>
      <c r="Q75" s="213"/>
      <c r="R75" s="213"/>
      <c r="S75" s="213"/>
      <c r="T75" s="213"/>
      <c r="U75" s="213"/>
      <c r="V75" s="213"/>
      <c r="W75" s="213"/>
      <c r="X75" s="213"/>
      <c r="Y75" s="213"/>
      <c r="Z75" s="213"/>
      <c r="AA75" s="213"/>
      <c r="AB75" s="213"/>
      <c r="AC75" s="213"/>
    </row>
    <row r="76" spans="2:29" s="49" customFormat="1" x14ac:dyDescent="0.35">
      <c r="B76" s="212"/>
      <c r="C76" s="212"/>
      <c r="D76" s="212" t="s">
        <v>346</v>
      </c>
      <c r="E76" s="213"/>
      <c r="F76" s="213"/>
      <c r="G76" s="213"/>
      <c r="H76" s="213"/>
      <c r="I76" s="213"/>
      <c r="J76" s="213"/>
      <c r="K76" s="213"/>
      <c r="L76" s="213"/>
      <c r="M76" s="213"/>
      <c r="N76" s="213"/>
      <c r="O76" s="213"/>
      <c r="P76" s="213"/>
      <c r="Q76" s="213"/>
      <c r="R76" s="213"/>
      <c r="S76" s="213"/>
      <c r="T76" s="213"/>
      <c r="U76" s="213"/>
      <c r="V76" s="213"/>
      <c r="W76" s="213"/>
      <c r="X76" s="213"/>
      <c r="Y76" s="213"/>
      <c r="Z76" s="213"/>
      <c r="AA76" s="213"/>
      <c r="AB76" s="213"/>
      <c r="AC76" s="213"/>
    </row>
    <row r="77" spans="2:29" s="49" customFormat="1" x14ac:dyDescent="0.35">
      <c r="B77" s="212"/>
      <c r="C77" s="212"/>
      <c r="D77" s="212" t="s">
        <v>341</v>
      </c>
      <c r="E77" s="213"/>
      <c r="F77" s="213"/>
      <c r="G77" s="213"/>
      <c r="H77" s="213"/>
      <c r="I77" s="213"/>
      <c r="J77" s="213"/>
      <c r="K77" s="213"/>
      <c r="L77" s="213"/>
      <c r="M77" s="213"/>
      <c r="N77" s="213"/>
      <c r="O77" s="213"/>
      <c r="P77" s="213"/>
      <c r="Q77" s="213"/>
      <c r="R77" s="213"/>
      <c r="S77" s="213"/>
      <c r="T77" s="213"/>
      <c r="U77" s="213"/>
      <c r="V77" s="213"/>
      <c r="W77" s="213"/>
      <c r="X77" s="213"/>
      <c r="Y77" s="213"/>
      <c r="Z77" s="213"/>
      <c r="AA77" s="213"/>
      <c r="AB77" s="213"/>
      <c r="AC77" s="213"/>
    </row>
    <row r="78" spans="2:29" s="49" customFormat="1" x14ac:dyDescent="0.35">
      <c r="B78" s="212"/>
      <c r="C78" s="212"/>
      <c r="D78" s="212" t="s">
        <v>355</v>
      </c>
      <c r="E78" s="213"/>
      <c r="F78" s="213"/>
      <c r="G78" s="213"/>
      <c r="H78" s="213"/>
      <c r="I78" s="213"/>
      <c r="J78" s="213"/>
      <c r="K78" s="213"/>
      <c r="L78" s="213"/>
      <c r="M78" s="213"/>
      <c r="N78" s="213"/>
      <c r="O78" s="213"/>
      <c r="P78" s="213"/>
      <c r="Q78" s="213"/>
      <c r="R78" s="213"/>
      <c r="S78" s="213"/>
      <c r="T78" s="213"/>
      <c r="U78" s="213"/>
      <c r="V78" s="213"/>
      <c r="W78" s="213"/>
      <c r="X78" s="213"/>
      <c r="Y78" s="213"/>
      <c r="Z78" s="213"/>
      <c r="AA78" s="213"/>
      <c r="AB78" s="213"/>
      <c r="AC78" s="213"/>
    </row>
    <row r="79" spans="2:29" s="49" customFormat="1" x14ac:dyDescent="0.35">
      <c r="B79" s="212"/>
      <c r="C79" s="212"/>
      <c r="D79" s="212" t="s">
        <v>340</v>
      </c>
      <c r="E79" s="213"/>
      <c r="F79" s="213"/>
      <c r="G79" s="213"/>
      <c r="H79" s="213"/>
      <c r="I79" s="213"/>
      <c r="J79" s="213"/>
      <c r="K79" s="213"/>
      <c r="L79" s="213"/>
      <c r="M79" s="213"/>
      <c r="N79" s="213"/>
      <c r="O79" s="213"/>
      <c r="P79" s="213"/>
      <c r="Q79" s="213"/>
      <c r="R79" s="213"/>
      <c r="S79" s="213"/>
      <c r="T79" s="213"/>
      <c r="U79" s="213"/>
      <c r="V79" s="213"/>
      <c r="W79" s="213"/>
      <c r="X79" s="213"/>
      <c r="Y79" s="213"/>
      <c r="Z79" s="213"/>
      <c r="AA79" s="213"/>
      <c r="AB79" s="213"/>
      <c r="AC79" s="213"/>
    </row>
    <row r="80" spans="2:29" s="49" customFormat="1" x14ac:dyDescent="0.35">
      <c r="B80" s="212"/>
      <c r="C80" s="212"/>
      <c r="D80" s="212"/>
      <c r="E80" s="213"/>
      <c r="F80" s="213"/>
      <c r="G80" s="213"/>
      <c r="H80" s="213"/>
      <c r="I80" s="213"/>
      <c r="J80" s="213"/>
      <c r="K80" s="213"/>
      <c r="L80" s="213"/>
      <c r="M80" s="213"/>
      <c r="N80" s="213"/>
      <c r="O80" s="213"/>
      <c r="P80" s="213"/>
      <c r="Q80" s="213"/>
      <c r="R80" s="213"/>
      <c r="S80" s="213"/>
      <c r="T80" s="213"/>
      <c r="U80" s="213"/>
      <c r="V80" s="213"/>
      <c r="W80" s="213"/>
      <c r="X80" s="213"/>
      <c r="Y80" s="213"/>
      <c r="Z80" s="213"/>
      <c r="AA80" s="213"/>
      <c r="AB80" s="213"/>
      <c r="AC80" s="213"/>
    </row>
    <row r="81" spans="2:29" s="49" customFormat="1" x14ac:dyDescent="0.35">
      <c r="B81" s="212" t="s">
        <v>46</v>
      </c>
      <c r="C81" s="212"/>
      <c r="D81" s="212" t="s">
        <v>401</v>
      </c>
      <c r="E81" s="213"/>
      <c r="F81" s="213"/>
      <c r="G81" s="213"/>
      <c r="H81" s="213"/>
      <c r="I81" s="213"/>
      <c r="J81" s="213"/>
      <c r="K81" s="213"/>
      <c r="L81" s="213"/>
      <c r="M81" s="213"/>
      <c r="N81" s="213"/>
      <c r="O81" s="213"/>
      <c r="P81" s="213"/>
      <c r="Q81" s="213"/>
      <c r="R81" s="213"/>
      <c r="S81" s="213"/>
      <c r="T81" s="213"/>
      <c r="U81" s="213"/>
      <c r="V81" s="213"/>
      <c r="W81" s="213"/>
      <c r="X81" s="213"/>
      <c r="Y81" s="213"/>
      <c r="Z81" s="213"/>
      <c r="AA81" s="213"/>
      <c r="AB81" s="213"/>
      <c r="AC81" s="213"/>
    </row>
    <row r="82" spans="2:29" s="49" customFormat="1" x14ac:dyDescent="0.35">
      <c r="B82" s="212"/>
      <c r="C82" s="212"/>
      <c r="D82" s="212" t="s">
        <v>380</v>
      </c>
      <c r="E82" s="213"/>
      <c r="F82" s="213"/>
      <c r="G82" s="213"/>
      <c r="H82" s="213"/>
      <c r="I82" s="213"/>
      <c r="J82" s="213"/>
      <c r="K82" s="213"/>
      <c r="L82" s="213"/>
      <c r="M82" s="213"/>
      <c r="N82" s="213"/>
      <c r="O82" s="213"/>
      <c r="P82" s="213"/>
      <c r="Q82" s="213"/>
      <c r="R82" s="213"/>
      <c r="S82" s="213"/>
      <c r="T82" s="213"/>
      <c r="U82" s="213"/>
      <c r="V82" s="213"/>
      <c r="W82" s="213"/>
      <c r="X82" s="213"/>
      <c r="Y82" s="213"/>
      <c r="Z82" s="213"/>
      <c r="AA82" s="213"/>
      <c r="AB82" s="213"/>
      <c r="AC82" s="213"/>
    </row>
    <row r="83" spans="2:29" s="49" customFormat="1" x14ac:dyDescent="0.35">
      <c r="B83" s="212"/>
      <c r="C83" s="212"/>
      <c r="D83" s="212" t="s">
        <v>381</v>
      </c>
      <c r="E83" s="213"/>
      <c r="F83" s="213"/>
      <c r="G83" s="213"/>
      <c r="H83" s="213"/>
      <c r="I83" s="213"/>
      <c r="J83" s="213"/>
      <c r="K83" s="213"/>
      <c r="L83" s="213"/>
      <c r="M83" s="213"/>
      <c r="N83" s="213"/>
      <c r="O83" s="213"/>
      <c r="P83" s="213"/>
      <c r="Q83" s="213"/>
      <c r="R83" s="213"/>
      <c r="S83" s="213"/>
      <c r="T83" s="213"/>
      <c r="U83" s="213"/>
      <c r="V83" s="213"/>
      <c r="W83" s="213"/>
      <c r="X83" s="213"/>
      <c r="Y83" s="213"/>
      <c r="Z83" s="213"/>
      <c r="AA83" s="213"/>
      <c r="AB83" s="213"/>
      <c r="AC83" s="213"/>
    </row>
    <row r="84" spans="2:29" s="49" customFormat="1" x14ac:dyDescent="0.35">
      <c r="B84" s="212"/>
      <c r="C84" s="212"/>
      <c r="D84" s="212"/>
      <c r="E84" s="213"/>
      <c r="F84" s="213"/>
      <c r="G84" s="213"/>
      <c r="H84" s="213"/>
      <c r="I84" s="213"/>
      <c r="J84" s="213"/>
      <c r="K84" s="213"/>
      <c r="L84" s="213"/>
      <c r="M84" s="213"/>
      <c r="N84" s="213"/>
      <c r="O84" s="213"/>
      <c r="P84" s="213"/>
      <c r="Q84" s="213"/>
      <c r="R84" s="213"/>
      <c r="S84" s="213"/>
      <c r="T84" s="213"/>
      <c r="U84" s="213"/>
      <c r="V84" s="213"/>
      <c r="W84" s="213"/>
      <c r="X84" s="213"/>
      <c r="Y84" s="213"/>
      <c r="Z84" s="213"/>
      <c r="AA84" s="213"/>
      <c r="AB84" s="213"/>
      <c r="AC84" s="213"/>
    </row>
    <row r="85" spans="2:29" s="49" customFormat="1" x14ac:dyDescent="0.35">
      <c r="B85" s="212"/>
      <c r="C85" s="212"/>
      <c r="D85" s="212" t="s">
        <v>379</v>
      </c>
      <c r="E85" s="213"/>
      <c r="F85" s="213"/>
      <c r="G85" s="213"/>
      <c r="H85" s="213"/>
      <c r="I85" s="213"/>
      <c r="J85" s="213"/>
      <c r="K85" s="213"/>
      <c r="L85" s="213"/>
      <c r="M85" s="213"/>
      <c r="N85" s="213"/>
      <c r="O85" s="213"/>
      <c r="P85" s="213"/>
      <c r="Q85" s="213"/>
      <c r="R85" s="213"/>
      <c r="S85" s="213"/>
      <c r="T85" s="213"/>
      <c r="U85" s="213"/>
      <c r="V85" s="213"/>
      <c r="W85" s="213"/>
      <c r="X85" s="213"/>
      <c r="Y85" s="213"/>
      <c r="Z85" s="213"/>
      <c r="AA85" s="213"/>
      <c r="AB85" s="213"/>
      <c r="AC85" s="213"/>
    </row>
    <row r="86" spans="2:29" s="49" customFormat="1" x14ac:dyDescent="0.35">
      <c r="B86" s="212"/>
      <c r="C86" s="212"/>
      <c r="D86" s="212" t="s">
        <v>340</v>
      </c>
      <c r="E86" s="213"/>
      <c r="F86" s="213"/>
      <c r="G86" s="213"/>
      <c r="H86" s="213"/>
      <c r="I86" s="213"/>
      <c r="J86" s="213"/>
      <c r="K86" s="213"/>
      <c r="L86" s="213"/>
      <c r="M86" s="213"/>
      <c r="N86" s="213"/>
      <c r="O86" s="213"/>
      <c r="P86" s="213"/>
      <c r="Q86" s="213"/>
      <c r="R86" s="213"/>
      <c r="S86" s="213"/>
      <c r="T86" s="213"/>
      <c r="U86" s="213"/>
      <c r="V86" s="213"/>
      <c r="W86" s="213"/>
      <c r="X86" s="213"/>
      <c r="Y86" s="213"/>
      <c r="Z86" s="213"/>
      <c r="AA86" s="213"/>
      <c r="AB86" s="213"/>
      <c r="AC86" s="213"/>
    </row>
    <row r="87" spans="2:29" s="49" customFormat="1" x14ac:dyDescent="0.35">
      <c r="B87" s="212"/>
      <c r="C87" s="212"/>
      <c r="D87" s="212"/>
      <c r="E87" s="212"/>
      <c r="F87" s="212"/>
      <c r="G87" s="212"/>
      <c r="H87" s="212"/>
      <c r="I87" s="212"/>
      <c r="J87" s="212"/>
      <c r="K87" s="212"/>
      <c r="L87" s="212"/>
      <c r="M87" s="212"/>
      <c r="N87" s="212"/>
      <c r="O87" s="212"/>
      <c r="P87" s="212"/>
      <c r="Q87" s="212"/>
      <c r="R87" s="212"/>
      <c r="S87" s="212"/>
      <c r="T87" s="212"/>
      <c r="U87" s="212"/>
      <c r="V87" s="212"/>
      <c r="W87" s="212"/>
      <c r="X87" s="212"/>
      <c r="Y87" s="212"/>
      <c r="Z87" s="212"/>
      <c r="AA87" s="212"/>
      <c r="AB87" s="212"/>
      <c r="AC87" s="212"/>
    </row>
    <row r="88" spans="2:29" s="49" customFormat="1" x14ac:dyDescent="0.35">
      <c r="B88" s="212" t="s">
        <v>348</v>
      </c>
      <c r="C88" s="212"/>
      <c r="D88" s="212" t="s">
        <v>402</v>
      </c>
      <c r="E88" s="212"/>
      <c r="F88" s="212"/>
      <c r="G88" s="212"/>
      <c r="H88" s="212"/>
      <c r="I88" s="212"/>
      <c r="J88" s="212"/>
      <c r="K88" s="212"/>
      <c r="L88" s="212"/>
      <c r="M88" s="212"/>
      <c r="N88" s="212"/>
      <c r="O88" s="212"/>
      <c r="P88" s="212"/>
      <c r="Q88" s="212"/>
      <c r="R88" s="212"/>
      <c r="S88" s="212"/>
      <c r="T88" s="212"/>
      <c r="U88" s="212"/>
      <c r="V88" s="212"/>
      <c r="W88" s="212"/>
      <c r="X88" s="212"/>
      <c r="Y88" s="212"/>
      <c r="Z88" s="212"/>
      <c r="AA88" s="212"/>
      <c r="AB88" s="212"/>
      <c r="AC88" s="212"/>
    </row>
    <row r="89" spans="2:29" s="49" customFormat="1" x14ac:dyDescent="0.35">
      <c r="B89" s="212"/>
      <c r="C89" s="212"/>
      <c r="D89" s="212" t="s">
        <v>45</v>
      </c>
      <c r="E89" s="212"/>
      <c r="F89" s="212"/>
      <c r="G89" s="212"/>
      <c r="H89" s="212"/>
      <c r="I89" s="212"/>
      <c r="J89" s="212"/>
      <c r="K89" s="212"/>
      <c r="L89" s="212"/>
      <c r="M89" s="212"/>
      <c r="N89" s="212"/>
      <c r="O89" s="212"/>
      <c r="P89" s="212"/>
      <c r="Q89" s="212"/>
      <c r="R89" s="212"/>
      <c r="S89" s="212"/>
      <c r="T89" s="212"/>
      <c r="U89" s="212"/>
      <c r="V89" s="212"/>
      <c r="W89" s="212"/>
      <c r="X89" s="212"/>
      <c r="Y89" s="212"/>
      <c r="Z89" s="212"/>
      <c r="AA89" s="212"/>
      <c r="AB89" s="212"/>
      <c r="AC89" s="212"/>
    </row>
    <row r="90" spans="2:29" s="49" customFormat="1" x14ac:dyDescent="0.35">
      <c r="B90" s="212"/>
      <c r="C90" s="212"/>
      <c r="D90" s="212" t="s">
        <v>349</v>
      </c>
      <c r="E90" s="212"/>
      <c r="F90" s="212"/>
      <c r="G90" s="212"/>
      <c r="H90" s="212"/>
      <c r="I90" s="212"/>
      <c r="J90" s="212"/>
      <c r="K90" s="212"/>
      <c r="L90" s="212"/>
      <c r="M90" s="212"/>
      <c r="N90" s="212"/>
      <c r="O90" s="212"/>
      <c r="P90" s="212"/>
      <c r="Q90" s="212"/>
      <c r="R90" s="212"/>
      <c r="S90" s="212"/>
      <c r="T90" s="212"/>
      <c r="U90" s="212"/>
      <c r="V90" s="212"/>
      <c r="W90" s="212"/>
      <c r="X90" s="212"/>
      <c r="Y90" s="212"/>
      <c r="Z90" s="212"/>
      <c r="AA90" s="212"/>
      <c r="AB90" s="212"/>
      <c r="AC90" s="212"/>
    </row>
    <row r="91" spans="2:29" s="49" customFormat="1" x14ac:dyDescent="0.35">
      <c r="B91" s="212"/>
      <c r="C91" s="212"/>
      <c r="D91" s="212"/>
      <c r="E91" s="212"/>
      <c r="F91" s="212"/>
      <c r="G91" s="212"/>
      <c r="H91" s="212"/>
      <c r="I91" s="212"/>
      <c r="J91" s="212"/>
      <c r="K91" s="212"/>
      <c r="L91" s="212"/>
      <c r="M91" s="212"/>
      <c r="N91" s="212"/>
      <c r="O91" s="212"/>
      <c r="P91" s="212"/>
      <c r="Q91" s="212"/>
      <c r="R91" s="212"/>
      <c r="S91" s="212"/>
      <c r="T91" s="212"/>
      <c r="U91" s="212"/>
      <c r="V91" s="212"/>
      <c r="W91" s="212"/>
      <c r="X91" s="212"/>
      <c r="Y91" s="212"/>
      <c r="Z91" s="212"/>
      <c r="AA91" s="212"/>
      <c r="AB91" s="212"/>
      <c r="AC91" s="212"/>
    </row>
    <row r="92" spans="2:29" s="49" customFormat="1" x14ac:dyDescent="0.35">
      <c r="B92" s="212"/>
      <c r="C92" s="212"/>
      <c r="D92" s="212"/>
      <c r="E92" s="212"/>
      <c r="F92" s="212"/>
      <c r="G92" s="212"/>
      <c r="H92" s="212"/>
      <c r="I92" s="212"/>
      <c r="J92" s="212"/>
      <c r="K92" s="212"/>
      <c r="L92" s="212"/>
      <c r="M92" s="212"/>
      <c r="N92" s="212"/>
      <c r="O92" s="212"/>
      <c r="P92" s="212"/>
      <c r="Q92" s="212"/>
      <c r="R92" s="212"/>
      <c r="S92" s="212"/>
      <c r="T92" s="212"/>
      <c r="U92" s="212"/>
      <c r="V92" s="212"/>
      <c r="W92" s="212"/>
      <c r="X92" s="212"/>
      <c r="Y92" s="212"/>
      <c r="Z92" s="212"/>
      <c r="AA92" s="212"/>
      <c r="AB92" s="212"/>
      <c r="AC92" s="212"/>
    </row>
    <row r="93" spans="2:29" s="49" customFormat="1" x14ac:dyDescent="0.35">
      <c r="B93" s="212"/>
      <c r="C93" s="212"/>
      <c r="D93" s="212" t="s">
        <v>340</v>
      </c>
      <c r="E93" s="212"/>
      <c r="F93" s="212"/>
      <c r="G93" s="212"/>
      <c r="H93" s="212"/>
      <c r="I93" s="212"/>
      <c r="J93" s="212"/>
      <c r="K93" s="212"/>
      <c r="L93" s="212"/>
      <c r="M93" s="212"/>
      <c r="N93" s="212"/>
      <c r="O93" s="212"/>
      <c r="P93" s="212"/>
      <c r="Q93" s="212"/>
      <c r="R93" s="212"/>
      <c r="S93" s="212"/>
      <c r="T93" s="212"/>
      <c r="U93" s="212"/>
      <c r="V93" s="212"/>
      <c r="W93" s="212"/>
      <c r="X93" s="212"/>
      <c r="Y93" s="212"/>
      <c r="Z93" s="212"/>
      <c r="AA93" s="212"/>
      <c r="AB93" s="212"/>
      <c r="AC93" s="212"/>
    </row>
    <row r="94" spans="2:29" s="49" customFormat="1" x14ac:dyDescent="0.35"/>
    <row r="95" spans="2:29" s="49" customFormat="1" x14ac:dyDescent="0.35"/>
    <row r="96" spans="2:29" s="49" customFormat="1" x14ac:dyDescent="0.35"/>
    <row r="97" s="49" customFormat="1" x14ac:dyDescent="0.35"/>
    <row r="98" s="49" customFormat="1" x14ac:dyDescent="0.35"/>
    <row r="99" s="49" customFormat="1" x14ac:dyDescent="0.35"/>
    <row r="100" s="49" customFormat="1" x14ac:dyDescent="0.35"/>
    <row r="101" s="49" customFormat="1" x14ac:dyDescent="0.35"/>
    <row r="102" s="49" customFormat="1" x14ac:dyDescent="0.35"/>
    <row r="103" s="49" customFormat="1" x14ac:dyDescent="0.35"/>
    <row r="104" s="49" customFormat="1" x14ac:dyDescent="0.35"/>
    <row r="105" s="49" customFormat="1" x14ac:dyDescent="0.35"/>
    <row r="106" s="49" customFormat="1" x14ac:dyDescent="0.35"/>
    <row r="107" s="49" customFormat="1" x14ac:dyDescent="0.35"/>
    <row r="108" s="49" customFormat="1" x14ac:dyDescent="0.35"/>
    <row r="109" s="49" customFormat="1" x14ac:dyDescent="0.35"/>
    <row r="110" s="49" customFormat="1" x14ac:dyDescent="0.35"/>
    <row r="111" s="49" customFormat="1" x14ac:dyDescent="0.35"/>
    <row r="112" s="49" customFormat="1" x14ac:dyDescent="0.35"/>
    <row r="113" s="49" customFormat="1" x14ac:dyDescent="0.35"/>
    <row r="114" s="49" customFormat="1" x14ac:dyDescent="0.35"/>
    <row r="115" s="49" customFormat="1" x14ac:dyDescent="0.35"/>
    <row r="116" s="49" customFormat="1" x14ac:dyDescent="0.35"/>
    <row r="117" s="49" customFormat="1" x14ac:dyDescent="0.35"/>
    <row r="118" s="49" customFormat="1" x14ac:dyDescent="0.35"/>
    <row r="119" s="49" customFormat="1" x14ac:dyDescent="0.35"/>
    <row r="120" s="49" customFormat="1" x14ac:dyDescent="0.35"/>
    <row r="121" s="49" customFormat="1" x14ac:dyDescent="0.35"/>
    <row r="122" s="49" customFormat="1" x14ac:dyDescent="0.35"/>
    <row r="123" s="49" customFormat="1" x14ac:dyDescent="0.35"/>
    <row r="124" s="49" customFormat="1" x14ac:dyDescent="0.35"/>
    <row r="125" s="49" customFormat="1" x14ac:dyDescent="0.35"/>
    <row r="126" s="49" customFormat="1" x14ac:dyDescent="0.35"/>
    <row r="127" s="49" customFormat="1" x14ac:dyDescent="0.35"/>
    <row r="128" s="49" customFormat="1" x14ac:dyDescent="0.35"/>
    <row r="129" s="49" customFormat="1" x14ac:dyDescent="0.35"/>
    <row r="130" s="49" customFormat="1" x14ac:dyDescent="0.35"/>
    <row r="131" s="49" customFormat="1" x14ac:dyDescent="0.35"/>
    <row r="132" s="49" customFormat="1" x14ac:dyDescent="0.35"/>
    <row r="133" s="49" customFormat="1" x14ac:dyDescent="0.35"/>
    <row r="134" s="49" customFormat="1" x14ac:dyDescent="0.35"/>
    <row r="135" s="49" customFormat="1" x14ac:dyDescent="0.35"/>
    <row r="136" s="49" customFormat="1" x14ac:dyDescent="0.35"/>
    <row r="137" s="49" customFormat="1" x14ac:dyDescent="0.35"/>
    <row r="138" s="49" customFormat="1" x14ac:dyDescent="0.35"/>
    <row r="139" s="49" customFormat="1" x14ac:dyDescent="0.35"/>
    <row r="140" s="49" customFormat="1" x14ac:dyDescent="0.35"/>
    <row r="141" s="49" customFormat="1" x14ac:dyDescent="0.35"/>
    <row r="142" s="49" customFormat="1" x14ac:dyDescent="0.35"/>
    <row r="143" s="49" customFormat="1" x14ac:dyDescent="0.35"/>
    <row r="144" s="49" customFormat="1" x14ac:dyDescent="0.35"/>
    <row r="145" s="49" customFormat="1" x14ac:dyDescent="0.35"/>
    <row r="146" s="49" customFormat="1" x14ac:dyDescent="0.35"/>
    <row r="147" s="49" customFormat="1" x14ac:dyDescent="0.35"/>
    <row r="148" s="49" customFormat="1" x14ac:dyDescent="0.35"/>
    <row r="149" s="49" customFormat="1" x14ac:dyDescent="0.35"/>
    <row r="150" s="49" customFormat="1" x14ac:dyDescent="0.35"/>
    <row r="151" s="49" customFormat="1" x14ac:dyDescent="0.35"/>
    <row r="152" s="49" customFormat="1" x14ac:dyDescent="0.35"/>
    <row r="153" s="49" customFormat="1" x14ac:dyDescent="0.35"/>
    <row r="154" s="49" customFormat="1" x14ac:dyDescent="0.35"/>
    <row r="155" s="49" customFormat="1" x14ac:dyDescent="0.35"/>
    <row r="156" s="49" customFormat="1" x14ac:dyDescent="0.35"/>
    <row r="157" s="49" customFormat="1" x14ac:dyDescent="0.35"/>
    <row r="158" s="49" customFormat="1" x14ac:dyDescent="0.35"/>
    <row r="159" s="49" customFormat="1" x14ac:dyDescent="0.35"/>
  </sheetData>
  <sheetProtection algorithmName="SHA-512" hashValue="VTcEXp5XCrSe8xIE7THnyXEfyVnOAIDLLPT/oyr8HQxd4zEfcoBUbu8W2P+ibiLMn2TEiC82yoFs7rprEC1L9Q==" saltValue="C0v8DSWyu9Uq/TaPZz12fQ==" spinCount="100000" sheet="1" objects="1" scenarios="1"/>
  <mergeCells count="18">
    <mergeCell ref="AB3:AB5"/>
    <mergeCell ref="M5:M6"/>
    <mergeCell ref="V3:V5"/>
    <mergeCell ref="W3:W5"/>
    <mergeCell ref="X3:X5"/>
    <mergeCell ref="Y3:Y5"/>
    <mergeCell ref="Z3:Z5"/>
    <mergeCell ref="N3:N5"/>
    <mergeCell ref="O3:O5"/>
    <mergeCell ref="P3:P5"/>
    <mergeCell ref="Q3:Q5"/>
    <mergeCell ref="R3:R5"/>
    <mergeCell ref="S3:S5"/>
    <mergeCell ref="T3:T5"/>
    <mergeCell ref="U3:U5"/>
    <mergeCell ref="E26:I26"/>
    <mergeCell ref="E27:I27"/>
    <mergeCell ref="AA3:AA5"/>
  </mergeCells>
  <conditionalFormatting sqref="B1:AC6 B7:D7 AC7 F25:AC25 B25:C27 D25:E26 B28 F28:AC28 J26:AC27 B8:AC19 B24:AC24 B20:G23 I20:AC23 B29:AC1048576">
    <cfRule type="cellIs" dxfId="969" priority="51" operator="lessThan">
      <formula>0</formula>
    </cfRule>
  </conditionalFormatting>
  <conditionalFormatting sqref="E7:AB7">
    <cfRule type="cellIs" dxfId="968" priority="50" operator="lessThan">
      <formula>0</formula>
    </cfRule>
  </conditionalFormatting>
  <conditionalFormatting sqref="C28:E28">
    <cfRule type="cellIs" dxfId="967" priority="15" operator="lessThan">
      <formula>0</formula>
    </cfRule>
  </conditionalFormatting>
  <conditionalFormatting sqref="E27">
    <cfRule type="containsText" dxfId="966" priority="13" operator="containsText" text="suuri">
      <formula>NOT(ISERROR(SEARCH("suuri",E27)))</formula>
    </cfRule>
    <cfRule type="containsText" dxfId="965" priority="14" operator="containsText" text="korkeampi">
      <formula>NOT(ISERROR(SEARCH("korkeampi",E27)))</formula>
    </cfRule>
  </conditionalFormatting>
  <conditionalFormatting sqref="E27">
    <cfRule type="containsText" dxfId="964" priority="6" operator="containsText" text="hyvä">
      <formula>NOT(ISERROR(SEARCH("hyvä",E27)))</formula>
    </cfRule>
    <cfRule type="containsText" dxfId="963" priority="11" operator="containsText" text="epä">
      <formula>NOT(ISERROR(SEARCH("epä",E27)))</formula>
    </cfRule>
    <cfRule type="containsText" dxfId="962" priority="12" operator="containsText" text="Tarkista">
      <formula>NOT(ISERROR(SEARCH("Tarkista",E27)))</formula>
    </cfRule>
  </conditionalFormatting>
  <conditionalFormatting sqref="E26">
    <cfRule type="containsText" dxfId="961" priority="9" operator="containsText" text="huono">
      <formula>NOT(ISERROR(SEARCH("huono",E26)))</formula>
    </cfRule>
    <cfRule type="containsText" dxfId="960" priority="10" operator="containsText" text="alhainen">
      <formula>NOT(ISERROR(SEARCH("alhainen",E26)))</formula>
    </cfRule>
  </conditionalFormatting>
  <conditionalFormatting sqref="D26">
    <cfRule type="cellIs" dxfId="959" priority="7" operator="between">
      <formula>5000</formula>
      <formula>6000</formula>
    </cfRule>
    <cfRule type="cellIs" dxfId="958" priority="8" operator="lessThan">
      <formula>5000</formula>
    </cfRule>
  </conditionalFormatting>
  <conditionalFormatting sqref="E27">
    <cfRule type="cellIs" dxfId="957" priority="5" operator="lessThan">
      <formula>0</formula>
    </cfRule>
  </conditionalFormatting>
  <conditionalFormatting sqref="D27">
    <cfRule type="cellIs" dxfId="956" priority="2" operator="lessThan">
      <formula>0</formula>
    </cfRule>
  </conditionalFormatting>
  <conditionalFormatting sqref="D27">
    <cfRule type="cellIs" dxfId="955" priority="3" operator="between">
      <formula>0.05</formula>
      <formula>0.08</formula>
    </cfRule>
    <cfRule type="cellIs" dxfId="954" priority="4" operator="lessThan">
      <formula>0.05</formula>
    </cfRule>
  </conditionalFormatting>
  <conditionalFormatting sqref="H20:H23">
    <cfRule type="cellIs" dxfId="953" priority="1" operator="lessThan">
      <formula>0</formula>
    </cfRule>
  </conditionalFormatting>
  <conditionalFormatting sqref="I10:I12 I15:I17 I20:I22 I25 I30:I34 I37:I41">
    <cfRule type="top10" dxfId="952" priority="645" percent="1" rank="10"/>
  </conditionalFormatting>
  <conditionalFormatting sqref="K10:K12 K15:K17 K20:K22 K25:K27 K30:K34 K37:K41">
    <cfRule type="top10" dxfId="951" priority="651" percent="1" rank="10"/>
  </conditionalFormatting>
  <hyperlinks>
    <hyperlink ref="M5:M6" r:id="rId1" display="Tavoite" xr:uid="{00000000-0004-0000-0600-000000000000}"/>
  </hyperlinks>
  <pageMargins left="0.7" right="0.7" top="0.75" bottom="0.75" header="0.3" footer="0.3"/>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ul5">
    <tabColor rgb="FF92D050"/>
  </sheetPr>
  <dimension ref="A1:AH116"/>
  <sheetViews>
    <sheetView zoomScale="70" zoomScaleNormal="70" workbookViewId="0">
      <pane ySplit="1" topLeftCell="A5" activePane="bottomLeft" state="frozen"/>
      <selection activeCell="E1" sqref="E1"/>
      <selection pane="bottomLeft" activeCell="E1" sqref="E1"/>
    </sheetView>
  </sheetViews>
  <sheetFormatPr defaultColWidth="9.1796875" defaultRowHeight="14.5" x14ac:dyDescent="0.35"/>
  <cols>
    <col min="1" max="1" width="2.6328125" style="49" customWidth="1"/>
    <col min="2" max="2" width="2.6328125" style="44" customWidth="1"/>
    <col min="3" max="9" width="10.6328125" style="44" customWidth="1"/>
    <col min="10" max="10" width="2.6328125" style="49" customWidth="1"/>
    <col min="11" max="11" width="17.6328125" style="44" customWidth="1"/>
    <col min="12" max="17" width="10.6328125" style="44" customWidth="1"/>
    <col min="18" max="18" width="2.6328125" style="49" customWidth="1"/>
    <col min="19" max="19" width="2.6328125" style="44" customWidth="1"/>
    <col min="20" max="20" width="14.6328125" style="44" customWidth="1"/>
    <col min="21" max="21" width="8.6328125" style="44" customWidth="1"/>
    <col min="22" max="27" width="10.6328125" style="44" customWidth="1"/>
    <col min="28" max="29" width="2.6328125" style="49" customWidth="1"/>
    <col min="30" max="30" width="29.453125" style="46" customWidth="1"/>
    <col min="31" max="31" width="36.6328125" style="44" bestFit="1" customWidth="1"/>
    <col min="32" max="32" width="2.6328125" style="49" customWidth="1"/>
    <col min="33" max="33" width="72" style="44" customWidth="1"/>
    <col min="34" max="34" width="10.6328125" style="49" customWidth="1"/>
    <col min="35" max="42" width="10.6328125" style="44" customWidth="1"/>
    <col min="43" max="16384" width="9.1796875" style="44"/>
  </cols>
  <sheetData>
    <row r="1" spans="1:34" s="410" customFormat="1" ht="27" customHeight="1" x14ac:dyDescent="0.35">
      <c r="A1" s="408"/>
      <c r="B1" s="408"/>
      <c r="C1" s="408"/>
      <c r="D1" s="409"/>
      <c r="E1" s="409" t="s">
        <v>23</v>
      </c>
      <c r="F1" s="408"/>
      <c r="G1" s="408"/>
      <c r="H1" s="408"/>
      <c r="I1" s="408"/>
      <c r="J1" s="408"/>
      <c r="K1" s="408" t="str">
        <f>CONCATENATE(Etusivu!$F$10,," ",Etusivu!$G$10,", ",Etusivu!$F$7," ",Etusivu!$G$7)</f>
        <v>Laskelman laatija: Lappari-elinkeino -hanke, Laskelmavuosi: 2021</v>
      </c>
      <c r="L1" s="408"/>
      <c r="M1" s="408"/>
      <c r="N1" s="408"/>
      <c r="O1" s="408"/>
      <c r="P1" s="408"/>
      <c r="Q1" s="411"/>
      <c r="R1" s="408"/>
      <c r="S1" s="408"/>
      <c r="T1" s="408"/>
      <c r="U1" s="408"/>
      <c r="V1" s="408"/>
      <c r="W1" s="408"/>
      <c r="X1" s="408"/>
      <c r="Y1" s="408"/>
      <c r="Z1" s="408"/>
      <c r="AA1" s="408"/>
      <c r="AB1" s="408"/>
      <c r="AC1" s="408"/>
      <c r="AD1" s="408"/>
      <c r="AE1" s="408"/>
      <c r="AF1" s="408"/>
      <c r="AG1" s="408"/>
      <c r="AH1" s="408"/>
    </row>
    <row r="2" spans="1:34" s="2" customFormat="1" ht="14.25" customHeight="1" x14ac:dyDescent="0.35">
      <c r="A2" s="3"/>
      <c r="B2" s="4"/>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row>
    <row r="3" spans="1:34" ht="20" customHeight="1" thickBot="1" x14ac:dyDescent="0.5">
      <c r="B3" s="575" t="s">
        <v>0</v>
      </c>
      <c r="C3" s="575"/>
      <c r="D3" s="575"/>
      <c r="E3" s="575"/>
      <c r="F3" s="575"/>
      <c r="G3" s="575"/>
      <c r="H3" s="575"/>
      <c r="I3" s="575"/>
      <c r="K3" s="726" t="s">
        <v>463</v>
      </c>
      <c r="L3" s="574"/>
      <c r="M3" s="574"/>
      <c r="N3" s="574"/>
      <c r="O3" s="581">
        <f>E23</f>
        <v>29</v>
      </c>
      <c r="P3" s="642">
        <f>IF(E17=0,"Tarkista",E17)</f>
        <v>20</v>
      </c>
      <c r="Q3" s="642" t="s">
        <v>6</v>
      </c>
      <c r="S3" s="39"/>
      <c r="U3" s="39"/>
      <c r="V3" s="39"/>
      <c r="W3" s="39"/>
      <c r="X3" s="39"/>
      <c r="Y3" s="39"/>
      <c r="Z3" s="39"/>
      <c r="AA3" s="876"/>
      <c r="AD3" s="43"/>
      <c r="AE3" s="43"/>
      <c r="AG3" s="43"/>
    </row>
    <row r="4" spans="1:34" ht="22.5" thickTop="1" x14ac:dyDescent="0.35">
      <c r="B4" s="39"/>
      <c r="C4" s="39"/>
      <c r="D4" s="39"/>
      <c r="E4" s="50" t="s">
        <v>84</v>
      </c>
      <c r="F4" s="50" t="s">
        <v>418</v>
      </c>
      <c r="G4" s="50" t="s">
        <v>1</v>
      </c>
      <c r="H4" s="50" t="s">
        <v>406</v>
      </c>
      <c r="I4" s="50" t="s">
        <v>2</v>
      </c>
      <c r="K4" s="51" t="s">
        <v>77</v>
      </c>
      <c r="M4" s="316" t="s">
        <v>496</v>
      </c>
      <c r="N4" s="316" t="s">
        <v>25</v>
      </c>
      <c r="O4" s="268" t="s">
        <v>238</v>
      </c>
      <c r="P4" s="184" t="s">
        <v>463</v>
      </c>
      <c r="Q4" s="184"/>
      <c r="S4" s="700" t="s">
        <v>663</v>
      </c>
      <c r="T4" s="701"/>
      <c r="U4" s="702"/>
      <c r="V4" s="39"/>
      <c r="W4" s="39"/>
      <c r="X4" s="39"/>
      <c r="Y4" s="39"/>
      <c r="Z4" s="39"/>
      <c r="AA4" s="876"/>
    </row>
    <row r="5" spans="1:34" ht="15" customHeight="1" x14ac:dyDescent="0.35">
      <c r="B5" s="9">
        <v>1</v>
      </c>
      <c r="C5" s="874" t="s">
        <v>770</v>
      </c>
      <c r="D5" s="875"/>
      <c r="E5" s="215">
        <f>'Rehun käyttö, nettosato'!E5</f>
        <v>20</v>
      </c>
      <c r="F5" s="36">
        <f>'Rehun käyttö, nettosato'!F5</f>
        <v>6000</v>
      </c>
      <c r="G5" s="36">
        <f t="shared" ref="G5:G10" si="0">E5*F5</f>
        <v>120000</v>
      </c>
      <c r="H5" s="53">
        <f>IF(E5=0,0,Energiantarve!O11)</f>
        <v>56407.14263249292</v>
      </c>
      <c r="I5" s="53">
        <f>Energiantarve!P11</f>
        <v>1128142.8526498585</v>
      </c>
      <c r="K5" s="877" t="s">
        <v>279</v>
      </c>
      <c r="L5" s="878"/>
      <c r="M5" s="36">
        <f>'Rehun käyttö, nettosato'!M15</f>
        <v>8200</v>
      </c>
      <c r="N5" s="293">
        <v>0.12</v>
      </c>
      <c r="O5" s="269">
        <f>M5*N5</f>
        <v>984</v>
      </c>
      <c r="P5" s="184" t="s">
        <v>464</v>
      </c>
      <c r="Q5" s="220">
        <f>O5</f>
        <v>984</v>
      </c>
      <c r="S5" s="703"/>
      <c r="T5" s="704">
        <f>V38</f>
        <v>20.55112955215067</v>
      </c>
      <c r="U5" s="705" t="s">
        <v>498</v>
      </c>
      <c r="V5" s="39"/>
      <c r="W5" s="39"/>
      <c r="X5" s="39"/>
      <c r="Y5" s="39"/>
      <c r="Z5" s="39"/>
      <c r="AA5" s="876"/>
    </row>
    <row r="6" spans="1:34" x14ac:dyDescent="0.35">
      <c r="B6" s="9">
        <v>2</v>
      </c>
      <c r="C6" s="874" t="s">
        <v>771</v>
      </c>
      <c r="D6" s="875"/>
      <c r="E6" s="215">
        <f>'Rehun käyttö, nettosato'!E6</f>
        <v>4</v>
      </c>
      <c r="F6" s="36">
        <f>'Rehun käyttö, nettosato'!F6</f>
        <v>1</v>
      </c>
      <c r="G6" s="36">
        <f t="shared" si="0"/>
        <v>4</v>
      </c>
      <c r="H6" s="53">
        <f>IF(E6=0,0,Energiantarve!O17/(Energiantarve!I14/365))</f>
        <v>27081.950718685832</v>
      </c>
      <c r="I6" s="53">
        <f>Energiantarve!P17</f>
        <v>216804</v>
      </c>
      <c r="K6" s="39"/>
      <c r="L6" s="39"/>
      <c r="M6" s="39"/>
      <c r="N6" s="39"/>
      <c r="O6" s="89"/>
      <c r="P6" s="184" t="s">
        <v>465</v>
      </c>
      <c r="Q6" s="258">
        <f>O7</f>
        <v>700</v>
      </c>
      <c r="S6" s="706" t="s">
        <v>666</v>
      </c>
      <c r="T6" s="707"/>
      <c r="U6" s="708"/>
      <c r="V6" s="39"/>
      <c r="W6" s="39"/>
      <c r="X6" s="39"/>
      <c r="Y6" s="39"/>
      <c r="Z6" s="39"/>
      <c r="AA6" s="876"/>
    </row>
    <row r="7" spans="1:34" ht="15.75" customHeight="1" thickBot="1" x14ac:dyDescent="0.4">
      <c r="B7" s="9">
        <v>3</v>
      </c>
      <c r="C7" s="874" t="s">
        <v>3</v>
      </c>
      <c r="D7" s="875"/>
      <c r="E7" s="215">
        <f>'Rehun käyttö, nettosato'!E7</f>
        <v>0</v>
      </c>
      <c r="F7" s="727">
        <f>'Rehun käyttö, nettosato'!F7</f>
        <v>0</v>
      </c>
      <c r="G7" s="36">
        <f t="shared" si="0"/>
        <v>0</v>
      </c>
      <c r="H7" s="53">
        <f>IF(E7=0,0,Energiantarve!O23)</f>
        <v>0</v>
      </c>
      <c r="I7" s="53">
        <f>Energiantarve!P23</f>
        <v>0</v>
      </c>
      <c r="K7" s="128" t="s">
        <v>280</v>
      </c>
      <c r="L7" s="418">
        <f>Lähtötiedot!L33</f>
        <v>14000</v>
      </c>
      <c r="M7" s="126" t="s">
        <v>281</v>
      </c>
      <c r="N7" s="124">
        <f>IF(M5=0,0,O7/M5)</f>
        <v>8.5365853658536592E-2</v>
      </c>
      <c r="O7" s="270">
        <f>IF(P$3="Tarkista",0,L7/P$3)</f>
        <v>700</v>
      </c>
      <c r="P7" s="259"/>
      <c r="Q7" s="259"/>
      <c r="S7" s="709"/>
      <c r="T7" s="710">
        <f>V39</f>
        <v>12.014544186297011</v>
      </c>
      <c r="U7" s="711" t="s">
        <v>498</v>
      </c>
      <c r="V7" s="39"/>
      <c r="W7" s="39"/>
      <c r="X7" s="39"/>
      <c r="Y7" s="39"/>
      <c r="Z7" s="39"/>
      <c r="AA7" s="39"/>
    </row>
    <row r="8" spans="1:34" ht="15.75" customHeight="1" thickTop="1" thickBot="1" x14ac:dyDescent="0.4">
      <c r="B8" s="9">
        <v>4</v>
      </c>
      <c r="C8" s="874" t="s">
        <v>771</v>
      </c>
      <c r="D8" s="875"/>
      <c r="E8" s="215">
        <f>'Rehun käyttö, nettosato'!E8</f>
        <v>0</v>
      </c>
      <c r="F8" s="36">
        <f>'Rehun käyttö, nettosato'!F8</f>
        <v>1</v>
      </c>
      <c r="G8" s="36">
        <f t="shared" si="0"/>
        <v>0</v>
      </c>
      <c r="H8" s="53">
        <f>IF(E8=0,0,Energiantarve!O29/(Energiantarve!I26/365))</f>
        <v>0</v>
      </c>
      <c r="I8" s="53">
        <f>Energiantarve!P29</f>
        <v>0</v>
      </c>
      <c r="K8" s="127" t="s">
        <v>81</v>
      </c>
      <c r="L8" s="37"/>
      <c r="M8" s="37"/>
      <c r="N8" s="37"/>
      <c r="O8" s="271">
        <f>O7+O5</f>
        <v>1684</v>
      </c>
      <c r="P8" s="259"/>
      <c r="Q8" s="259"/>
      <c r="S8" s="39"/>
      <c r="T8" s="39"/>
      <c r="V8" s="39"/>
      <c r="W8" s="39"/>
      <c r="X8" s="39"/>
      <c r="Y8" s="39"/>
      <c r="Z8" s="39"/>
      <c r="AA8" s="39"/>
    </row>
    <row r="9" spans="1:34" ht="18.5" x14ac:dyDescent="0.45">
      <c r="B9" s="9">
        <v>5</v>
      </c>
      <c r="C9" s="874" t="s">
        <v>4</v>
      </c>
      <c r="D9" s="875"/>
      <c r="E9" s="215">
        <f>'Rehun käyttö, nettosato'!E9</f>
        <v>8</v>
      </c>
      <c r="F9" s="36">
        <f>'Rehun käyttö, nettosato'!F9</f>
        <v>244</v>
      </c>
      <c r="G9" s="36">
        <f t="shared" si="0"/>
        <v>1952</v>
      </c>
      <c r="H9" s="53">
        <f>IF(E9=0,0,Energiantarve!O35/(Energiantarve!K32/365))</f>
        <v>34461.840000000004</v>
      </c>
      <c r="I9" s="53">
        <f>Energiantarve!P35</f>
        <v>498516.48000000004</v>
      </c>
      <c r="K9" s="39"/>
      <c r="L9" s="39"/>
      <c r="M9" s="39"/>
      <c r="N9" s="39"/>
      <c r="O9" s="89"/>
      <c r="P9" s="184"/>
      <c r="Q9" s="184"/>
      <c r="S9" s="569" t="str">
        <f>CONCATENATE("Tuotantokustannusvertailu, ",C17)</f>
        <v>Tuotantokustannusvertailu, Säilörehu</v>
      </c>
      <c r="T9" s="582"/>
      <c r="U9" s="582"/>
      <c r="V9" s="583"/>
      <c r="W9" s="582"/>
      <c r="X9" s="582"/>
      <c r="Y9" s="584"/>
      <c r="Z9" s="569"/>
      <c r="AA9" s="582"/>
      <c r="AD9" s="569" t="s">
        <v>245</v>
      </c>
      <c r="AE9" s="569"/>
      <c r="AG9" s="569" t="s">
        <v>244</v>
      </c>
    </row>
    <row r="10" spans="1:34" ht="18.5" x14ac:dyDescent="0.45">
      <c r="B10" s="9">
        <v>6</v>
      </c>
      <c r="C10" s="874" t="s">
        <v>5</v>
      </c>
      <c r="D10" s="875"/>
      <c r="E10" s="215">
        <f>'Rehun käyttö, nettosato'!E10</f>
        <v>6</v>
      </c>
      <c r="F10" s="36">
        <f>'Rehun käyttö, nettosato'!F10</f>
        <v>184</v>
      </c>
      <c r="G10" s="36">
        <f t="shared" si="0"/>
        <v>1104</v>
      </c>
      <c r="H10" s="53">
        <f>IF(E10=0,0,Energiantarve!O41/(Energiantarve!K38/365))</f>
        <v>21343.958999999995</v>
      </c>
      <c r="I10" s="728">
        <f>Energiantarve!P41</f>
        <v>263144.69999999995</v>
      </c>
      <c r="K10" s="726" t="s">
        <v>508</v>
      </c>
      <c r="L10" s="574"/>
      <c r="M10" s="574"/>
      <c r="N10" s="574"/>
      <c r="O10" s="574"/>
      <c r="P10" s="574"/>
      <c r="Q10" s="574"/>
      <c r="S10" s="39"/>
      <c r="T10" s="39"/>
      <c r="U10" s="39"/>
      <c r="V10" s="39" t="s">
        <v>40</v>
      </c>
      <c r="W10" s="39"/>
      <c r="X10" s="57" t="s">
        <v>41</v>
      </c>
      <c r="Y10" s="57"/>
      <c r="Z10" s="58" t="s">
        <v>42</v>
      </c>
      <c r="AA10" s="58"/>
      <c r="AE10" s="97"/>
      <c r="AG10" s="39"/>
    </row>
    <row r="11" spans="1:34" ht="16" thickBot="1" x14ac:dyDescent="0.4">
      <c r="B11" s="9">
        <v>7</v>
      </c>
      <c r="C11" s="874" t="s">
        <v>403</v>
      </c>
      <c r="D11" s="875"/>
      <c r="E11" s="215">
        <f>'Rehun käyttö, nettosato'!E11</f>
        <v>0</v>
      </c>
      <c r="F11" s="39"/>
      <c r="G11" s="39"/>
      <c r="H11" s="53">
        <f>IF(E11=0,0,Energiantarve!O47)</f>
        <v>0</v>
      </c>
      <c r="I11" s="728">
        <f>Energiantarve!P47</f>
        <v>0</v>
      </c>
      <c r="K11" s="51" t="s">
        <v>35</v>
      </c>
      <c r="L11" s="19"/>
      <c r="M11" s="122" t="s">
        <v>497</v>
      </c>
      <c r="N11" s="34" t="s">
        <v>251</v>
      </c>
      <c r="O11" s="272" t="s">
        <v>251</v>
      </c>
      <c r="P11" s="19"/>
      <c r="Q11" s="19"/>
      <c r="S11" s="39"/>
      <c r="T11" s="39"/>
      <c r="U11" s="39"/>
      <c r="V11" s="663" t="s">
        <v>39</v>
      </c>
      <c r="W11" s="50" t="s">
        <v>43</v>
      </c>
      <c r="X11" s="59" t="s">
        <v>39</v>
      </c>
      <c r="Y11" s="59" t="s">
        <v>43</v>
      </c>
      <c r="Z11" s="60" t="s">
        <v>39</v>
      </c>
      <c r="AA11" s="60" t="s">
        <v>43</v>
      </c>
      <c r="AD11" s="46" t="str">
        <f>V11</f>
        <v>snt/kg</v>
      </c>
      <c r="AG11" s="39"/>
    </row>
    <row r="12" spans="1:34" ht="15" thickBot="1" x14ac:dyDescent="0.4">
      <c r="B12" s="39"/>
      <c r="C12" s="39"/>
      <c r="D12" s="39"/>
      <c r="E12" s="39"/>
      <c r="F12" s="39"/>
      <c r="G12" s="39"/>
      <c r="H12" s="39"/>
      <c r="I12" s="729">
        <f>SUM(I5:I11)</f>
        <v>2106608.0326498584</v>
      </c>
      <c r="K12" s="39"/>
      <c r="L12" s="50" t="s">
        <v>277</v>
      </c>
      <c r="M12" s="122" t="s">
        <v>238</v>
      </c>
      <c r="N12" s="316" t="s">
        <v>38</v>
      </c>
      <c r="O12" s="268" t="s">
        <v>469</v>
      </c>
      <c r="P12" s="34" t="s">
        <v>21</v>
      </c>
      <c r="Q12" s="34" t="s">
        <v>350</v>
      </c>
      <c r="S12" s="61" t="s">
        <v>35</v>
      </c>
      <c r="T12" s="39"/>
      <c r="U12" s="39"/>
      <c r="V12" s="261">
        <f>SUM(V13:V22)</f>
        <v>6.6674929722013738</v>
      </c>
      <c r="W12" s="63">
        <f>IF(V$38=0,0,V12/V$38)</f>
        <v>0.32443437988563617</v>
      </c>
      <c r="X12" s="283">
        <f>SUM(X13:X22)</f>
        <v>6.2423767455115415</v>
      </c>
      <c r="Y12" s="65">
        <f t="shared" ref="Y12:Y22" si="1">X12/$X$38</f>
        <v>0.33436170297378925</v>
      </c>
      <c r="Z12" s="286">
        <f>SUM(Z13:Z22)</f>
        <v>6.7280570124320116</v>
      </c>
      <c r="AA12" s="67">
        <f t="shared" ref="AA12:AA22" si="2">Z12/$Z$38</f>
        <v>0.42056657133550973</v>
      </c>
      <c r="AD12" s="45" t="str">
        <f>S12</f>
        <v>Muuttuvat kustannukset</v>
      </c>
      <c r="AE12" s="44" t="str">
        <f>IF(V12&gt;X12,"ovat suuremmat kuin vertailulaskelmissa","ovat pienemmät kuin vertailulaskelmissa")</f>
        <v>ovat suuremmat kuin vertailulaskelmissa</v>
      </c>
      <c r="AG12" s="39"/>
    </row>
    <row r="13" spans="1:34" x14ac:dyDescent="0.35">
      <c r="B13" s="39"/>
      <c r="C13" s="39"/>
      <c r="D13" s="39"/>
      <c r="E13" s="39"/>
      <c r="F13" s="39"/>
      <c r="G13" s="39"/>
      <c r="H13" s="39"/>
      <c r="I13" s="730"/>
      <c r="K13" s="265" t="s">
        <v>276</v>
      </c>
      <c r="L13" s="36">
        <f>Lähtötiedot!C42</f>
        <v>1000</v>
      </c>
      <c r="M13" s="36">
        <f>IF(P$3="Tarkista",0,L13/P$3)</f>
        <v>50</v>
      </c>
      <c r="N13" s="23">
        <f>Lähtötiedot!Q42</f>
        <v>0.88139743694392292</v>
      </c>
      <c r="O13" s="269">
        <f t="shared" ref="O13:O18" si="3">M13*N13</f>
        <v>44.069871847196147</v>
      </c>
      <c r="P13" s="256">
        <v>4.3</v>
      </c>
      <c r="Q13" s="215">
        <f>IF(P13=0,0,O13/P13)</f>
        <v>10.248807406324685</v>
      </c>
      <c r="S13" s="39"/>
      <c r="T13" s="267" t="str">
        <f>K13</f>
        <v>Kylvösiemenkustannus</v>
      </c>
      <c r="U13" s="39"/>
      <c r="V13" s="47">
        <f>IF(M$5=0,0,O13/M$5*100)</f>
        <v>0.53743746155117256</v>
      </c>
      <c r="W13" s="69">
        <f>IF(V$38=0,0,V13/V$38)</f>
        <v>2.615123709805673E-2</v>
      </c>
      <c r="X13" s="284">
        <f>Tuotantokustannusvertailu!N13</f>
        <v>0.43697159684620507</v>
      </c>
      <c r="Y13" s="70">
        <f t="shared" si="1"/>
        <v>2.3405599057719204E-2</v>
      </c>
      <c r="Z13" s="287">
        <f>Tuotantokustannusvertailu!AC13</f>
        <v>0.47591297591297588</v>
      </c>
      <c r="AA13" s="71">
        <f t="shared" si="2"/>
        <v>2.9749017905757808E-2</v>
      </c>
      <c r="AD13" s="45" t="str">
        <f>T13</f>
        <v>Kylvösiemenkustannus</v>
      </c>
      <c r="AE13" s="44" t="str">
        <f>IF(V13&gt;X13,"on suurempi kuin vertailulaskelmissa","on pienempi kuin vertailulaskelmissa")</f>
        <v>on suurempi kuin vertailulaskelmissa</v>
      </c>
      <c r="AG13" s="39"/>
    </row>
    <row r="14" spans="1:34" ht="20" customHeight="1" x14ac:dyDescent="0.45">
      <c r="B14" s="726" t="s">
        <v>460</v>
      </c>
      <c r="C14" s="574"/>
      <c r="D14" s="574"/>
      <c r="E14" s="574"/>
      <c r="F14" s="574"/>
      <c r="G14" s="574"/>
      <c r="H14" s="574"/>
      <c r="I14" s="574"/>
      <c r="K14" s="265" t="s">
        <v>275</v>
      </c>
      <c r="L14" s="36">
        <f>Lähtötiedot!C43</f>
        <v>6000</v>
      </c>
      <c r="M14" s="36">
        <f t="shared" ref="M14:M21" si="4">IF(P$3="Tarkista",0,L14/P$3)</f>
        <v>300</v>
      </c>
      <c r="N14" s="23">
        <f>N13</f>
        <v>0.88139743694392292</v>
      </c>
      <c r="O14" s="269">
        <f t="shared" si="3"/>
        <v>264.4192310831769</v>
      </c>
      <c r="P14" s="256">
        <v>0.38</v>
      </c>
      <c r="Q14" s="36">
        <f>IF(P14=0,0,O14/P14)</f>
        <v>695.84008179783393</v>
      </c>
      <c r="S14" s="39"/>
      <c r="T14" s="267" t="str">
        <f t="shared" ref="T14:T20" si="5">K14</f>
        <v>Lannoituskustannus</v>
      </c>
      <c r="U14" s="39"/>
      <c r="V14" s="47">
        <f t="shared" ref="V14:V22" si="6">IF(M$5=0,0,O14/M$5*100)</f>
        <v>3.2246247693070349</v>
      </c>
      <c r="W14" s="69">
        <f t="shared" ref="W14:W22" si="7">IF(V$38=0,0,V14/V$38)</f>
        <v>0.15690742258834034</v>
      </c>
      <c r="X14" s="284">
        <f>Tuotantokustannusvertailu!N14</f>
        <v>1.6813907096038756</v>
      </c>
      <c r="Y14" s="70">
        <f t="shared" si="1"/>
        <v>9.0060674635136909E-2</v>
      </c>
      <c r="Z14" s="287">
        <f>Tuotantokustannusvertailu!AC14</f>
        <v>2.9137529137529135</v>
      </c>
      <c r="AA14" s="71">
        <f t="shared" si="2"/>
        <v>0.18213684432096616</v>
      </c>
      <c r="AD14" s="45" t="str">
        <f t="shared" ref="AD14:AD22" si="8">T14</f>
        <v>Lannoituskustannus</v>
      </c>
      <c r="AE14" s="44" t="str">
        <f t="shared" ref="AE14:AE20" si="9">IF(V14&gt;X14,"on suurempi kuin vertailulaskelmissa","on pienempi kuin vertailulaskelmissa")</f>
        <v>on suurempi kuin vertailulaskelmissa</v>
      </c>
      <c r="AG14" s="39"/>
    </row>
    <row r="15" spans="1:34" ht="15" customHeight="1" thickBot="1" x14ac:dyDescent="0.4">
      <c r="B15" s="39"/>
      <c r="C15" s="39"/>
      <c r="D15" s="39"/>
      <c r="E15" s="50" t="s">
        <v>6</v>
      </c>
      <c r="F15" s="731" t="s">
        <v>237</v>
      </c>
      <c r="G15" s="732" t="s">
        <v>1</v>
      </c>
      <c r="H15" s="732" t="s">
        <v>407</v>
      </c>
      <c r="I15" s="732" t="s">
        <v>7</v>
      </c>
      <c r="K15" s="265" t="s">
        <v>274</v>
      </c>
      <c r="L15" s="36">
        <f>Lähtötiedot!C44</f>
        <v>0</v>
      </c>
      <c r="M15" s="36">
        <f t="shared" si="4"/>
        <v>0</v>
      </c>
      <c r="N15" s="23">
        <f t="shared" ref="N15:N21" si="10">N$14</f>
        <v>0.88139743694392292</v>
      </c>
      <c r="O15" s="269">
        <f t="shared" si="3"/>
        <v>0</v>
      </c>
      <c r="P15" s="19"/>
      <c r="Q15" s="19"/>
      <c r="S15" s="39"/>
      <c r="T15" s="267" t="str">
        <f t="shared" si="5"/>
        <v>Kasvinsuojelukustannus</v>
      </c>
      <c r="U15" s="39"/>
      <c r="V15" s="47">
        <f t="shared" si="6"/>
        <v>0</v>
      </c>
      <c r="W15" s="69">
        <f t="shared" si="7"/>
        <v>0</v>
      </c>
      <c r="X15" s="284">
        <f>Tuotantokustannusvertailu!N15</f>
        <v>0</v>
      </c>
      <c r="Y15" s="70">
        <f t="shared" si="1"/>
        <v>0</v>
      </c>
      <c r="Z15" s="287">
        <f>Tuotantokustannusvertailu!AC15</f>
        <v>0.10683760683760685</v>
      </c>
      <c r="AA15" s="71">
        <f t="shared" si="2"/>
        <v>6.6783509584354278E-3</v>
      </c>
      <c r="AD15" s="45" t="str">
        <f t="shared" si="8"/>
        <v>Kasvinsuojelukustannus</v>
      </c>
      <c r="AE15" s="44" t="str">
        <f t="shared" si="9"/>
        <v>on pienempi kuin vertailulaskelmissa</v>
      </c>
      <c r="AG15" s="39"/>
    </row>
    <row r="16" spans="1:34" ht="15" customHeight="1" thickTop="1" x14ac:dyDescent="0.35">
      <c r="B16" s="77" t="s">
        <v>356</v>
      </c>
      <c r="C16" s="39"/>
      <c r="D16" s="39"/>
      <c r="E16" s="733">
        <f>SUM(E17:E21)</f>
        <v>29</v>
      </c>
      <c r="F16" s="734" t="s">
        <v>352</v>
      </c>
      <c r="G16" s="734" t="s">
        <v>44</v>
      </c>
      <c r="H16" s="734" t="s">
        <v>353</v>
      </c>
      <c r="I16" s="734" t="s">
        <v>8</v>
      </c>
      <c r="K16" s="265" t="s">
        <v>273</v>
      </c>
      <c r="L16" s="36">
        <f>Lähtötiedot!C45</f>
        <v>2500</v>
      </c>
      <c r="M16" s="36">
        <f t="shared" si="4"/>
        <v>125</v>
      </c>
      <c r="N16" s="23">
        <f t="shared" si="10"/>
        <v>0.88139743694392292</v>
      </c>
      <c r="O16" s="269">
        <f t="shared" si="3"/>
        <v>110.17467961799036</v>
      </c>
      <c r="P16" s="19"/>
      <c r="Q16" s="19"/>
      <c r="S16" s="39"/>
      <c r="T16" s="267" t="str">
        <f t="shared" si="5"/>
        <v>Säilöntäainekustannus</v>
      </c>
      <c r="U16" s="39"/>
      <c r="V16" s="47">
        <f t="shared" si="6"/>
        <v>1.3435936538779312</v>
      </c>
      <c r="W16" s="69">
        <f t="shared" si="7"/>
        <v>6.5378092745141808E-2</v>
      </c>
      <c r="X16" s="284">
        <f>Tuotantokustannusvertailu!N16</f>
        <v>0.18048826826256295</v>
      </c>
      <c r="Y16" s="70">
        <f t="shared" si="1"/>
        <v>9.6675300455796708E-3</v>
      </c>
      <c r="Z16" s="287">
        <f>Tuotantokustannusvertailu!AC16</f>
        <v>1.1460761460761459</v>
      </c>
      <c r="AA16" s="71">
        <f t="shared" si="2"/>
        <v>7.1640492099580025E-2</v>
      </c>
      <c r="AD16" s="45" t="str">
        <f t="shared" si="8"/>
        <v>Säilöntäainekustannus</v>
      </c>
      <c r="AE16" s="44" t="str">
        <f t="shared" si="9"/>
        <v>on suurempi kuin vertailulaskelmissa</v>
      </c>
      <c r="AG16" s="39"/>
    </row>
    <row r="17" spans="2:33" x14ac:dyDescent="0.35">
      <c r="B17" s="243" t="s">
        <v>421</v>
      </c>
      <c r="C17" s="735" t="s">
        <v>9</v>
      </c>
      <c r="D17" s="736"/>
      <c r="E17" s="737">
        <f>'Rehun käyttö, nettosato'!E17</f>
        <v>20</v>
      </c>
      <c r="F17" s="738">
        <f>'Rehun käyttö, nettosato'!M15</f>
        <v>8200</v>
      </c>
      <c r="G17" s="739">
        <f>E17*F17</f>
        <v>164000</v>
      </c>
      <c r="H17" s="739">
        <f>F17*Rehuntuotanto!J7</f>
        <v>91282.061855670094</v>
      </c>
      <c r="I17" s="740">
        <f>H17*E17</f>
        <v>1825641.2371134018</v>
      </c>
      <c r="K17" s="265" t="s">
        <v>272</v>
      </c>
      <c r="L17" s="36">
        <f>Lähtötiedot!C46</f>
        <v>500</v>
      </c>
      <c r="M17" s="36">
        <f t="shared" si="4"/>
        <v>25</v>
      </c>
      <c r="N17" s="23">
        <f t="shared" si="10"/>
        <v>0.88139743694392292</v>
      </c>
      <c r="O17" s="269">
        <f t="shared" si="3"/>
        <v>22.034935923598074</v>
      </c>
      <c r="P17" s="34" t="s">
        <v>466</v>
      </c>
      <c r="Q17" s="34" t="s">
        <v>467</v>
      </c>
      <c r="S17" s="39"/>
      <c r="T17" s="267" t="str">
        <f t="shared" si="5"/>
        <v>Säilöntämuovikustannus</v>
      </c>
      <c r="U17" s="39"/>
      <c r="V17" s="47">
        <f t="shared" si="6"/>
        <v>0.26871873077558628</v>
      </c>
      <c r="W17" s="69">
        <f t="shared" si="7"/>
        <v>1.3075618549028365E-2</v>
      </c>
      <c r="X17" s="284">
        <f>Tuotantokustannusvertailu!N17</f>
        <v>0.31347962382445138</v>
      </c>
      <c r="Y17" s="70">
        <f t="shared" si="1"/>
        <v>1.6790973237059425E-2</v>
      </c>
      <c r="Z17" s="287">
        <f>Tuotantokustannusvertailu!AC17</f>
        <v>0.19425019425019424</v>
      </c>
      <c r="AA17" s="71">
        <f t="shared" si="2"/>
        <v>1.2142456288064412E-2</v>
      </c>
      <c r="AD17" s="45" t="str">
        <f t="shared" si="8"/>
        <v>Säilöntämuovikustannus</v>
      </c>
      <c r="AE17" s="44" t="str">
        <f t="shared" si="9"/>
        <v>on pienempi kuin vertailulaskelmissa</v>
      </c>
      <c r="AG17" s="39"/>
    </row>
    <row r="18" spans="2:33" x14ac:dyDescent="0.35">
      <c r="B18" s="243" t="s">
        <v>422</v>
      </c>
      <c r="C18" s="735" t="s">
        <v>10</v>
      </c>
      <c r="D18" s="736"/>
      <c r="E18" s="737">
        <f>'Rehun käyttö, nettosato'!E18</f>
        <v>0</v>
      </c>
      <c r="F18" s="16">
        <f>Rehuntuotanto!I29</f>
        <v>0</v>
      </c>
      <c r="G18" s="36">
        <f>E18*F18</f>
        <v>0</v>
      </c>
      <c r="H18" s="36">
        <f>Rehuntuotanto!K29</f>
        <v>0</v>
      </c>
      <c r="I18" s="53">
        <f>H18*E18</f>
        <v>0</v>
      </c>
      <c r="K18" s="265" t="s">
        <v>473</v>
      </c>
      <c r="L18" s="36">
        <f>Lähtötiedot!C47</f>
        <v>2000</v>
      </c>
      <c r="M18" s="36">
        <f t="shared" si="4"/>
        <v>100</v>
      </c>
      <c r="N18" s="23">
        <f t="shared" si="10"/>
        <v>0.88139743694392292</v>
      </c>
      <c r="O18" s="269">
        <f t="shared" si="3"/>
        <v>88.139743694392294</v>
      </c>
      <c r="P18" s="256">
        <v>11</v>
      </c>
      <c r="Q18" s="215">
        <f>IF(P18=0,0,O18/P18)</f>
        <v>8.0127039722174818</v>
      </c>
      <c r="S18" s="39"/>
      <c r="T18" s="267" t="str">
        <f t="shared" si="5"/>
        <v>Traktorin poltto-ja voit.ainekust.</v>
      </c>
      <c r="U18" s="39"/>
      <c r="V18" s="47">
        <f t="shared" si="6"/>
        <v>1.0748749231023451</v>
      </c>
      <c r="W18" s="69">
        <f t="shared" si="7"/>
        <v>5.230247419611346E-2</v>
      </c>
      <c r="X18" s="284">
        <f>Tuotantokustannusvertailu!N18</f>
        <v>0.79794813337133086</v>
      </c>
      <c r="Y18" s="70">
        <f t="shared" si="1"/>
        <v>4.2740659148878535E-2</v>
      </c>
      <c r="Z18" s="287">
        <f>Tuotantokustannusvertailu!AC18</f>
        <v>0.50505050505050497</v>
      </c>
      <c r="AA18" s="71">
        <f t="shared" si="2"/>
        <v>3.1570386348967465E-2</v>
      </c>
      <c r="AD18" s="45" t="str">
        <f t="shared" si="8"/>
        <v>Traktorin poltto-ja voit.ainekust.</v>
      </c>
      <c r="AE18" s="44" t="str">
        <f t="shared" si="9"/>
        <v>on suurempi kuin vertailulaskelmissa</v>
      </c>
      <c r="AG18" s="39"/>
    </row>
    <row r="19" spans="2:33" ht="15" customHeight="1" x14ac:dyDescent="0.35">
      <c r="B19" s="243" t="s">
        <v>423</v>
      </c>
      <c r="C19" s="735" t="s">
        <v>48</v>
      </c>
      <c r="D19" s="736"/>
      <c r="E19" s="737">
        <f>'Rehun käyttö, nettosato'!E19</f>
        <v>0</v>
      </c>
      <c r="F19" s="16">
        <f>Rehuntuotanto!I36</f>
        <v>0</v>
      </c>
      <c r="G19" s="36">
        <f>E19*F19</f>
        <v>0</v>
      </c>
      <c r="H19" s="36">
        <f>Rehuntuotanto!K36</f>
        <v>0</v>
      </c>
      <c r="I19" s="53">
        <f>H19*E19</f>
        <v>0</v>
      </c>
      <c r="K19" s="265" t="s">
        <v>282</v>
      </c>
      <c r="L19" s="36">
        <f>Lähtötiedot!C48</f>
        <v>0</v>
      </c>
      <c r="M19" s="36">
        <f t="shared" si="4"/>
        <v>0</v>
      </c>
      <c r="N19" s="23">
        <f t="shared" si="10"/>
        <v>0.88139743694392292</v>
      </c>
      <c r="O19" s="269">
        <f>M19*N19</f>
        <v>0</v>
      </c>
      <c r="P19" s="19"/>
      <c r="Q19" s="19"/>
      <c r="S19" s="39"/>
      <c r="T19" s="267" t="str">
        <f t="shared" si="5"/>
        <v>Korjuun urakointikust.</v>
      </c>
      <c r="U19" s="39"/>
      <c r="V19" s="47">
        <f t="shared" si="6"/>
        <v>0</v>
      </c>
      <c r="W19" s="69">
        <f t="shared" si="7"/>
        <v>0</v>
      </c>
      <c r="X19" s="284">
        <f>Tuotantokustannusvertailu!N19</f>
        <v>2.5458345207561508</v>
      </c>
      <c r="Y19" s="70">
        <f t="shared" si="1"/>
        <v>0.13636305537975532</v>
      </c>
      <c r="Z19" s="287">
        <f>Tuotantokustannusvertailu!AC19</f>
        <v>0</v>
      </c>
      <c r="AA19" s="71">
        <f t="shared" si="2"/>
        <v>0</v>
      </c>
      <c r="AD19" s="45" t="str">
        <f t="shared" si="8"/>
        <v>Korjuun urakointikust.</v>
      </c>
      <c r="AE19" s="44" t="str">
        <f>IF(V19&gt;X19,"on suurempi kuin vertailulaskelmissa","on pienempi kuin vertailulaskelmissa")</f>
        <v>on pienempi kuin vertailulaskelmissa</v>
      </c>
      <c r="AG19" s="39"/>
    </row>
    <row r="20" spans="2:33" x14ac:dyDescent="0.35">
      <c r="B20" s="243" t="s">
        <v>424</v>
      </c>
      <c r="C20" s="735" t="s">
        <v>46</v>
      </c>
      <c r="D20" s="736"/>
      <c r="E20" s="737">
        <f>'Rehun käyttö, nettosato'!E20</f>
        <v>5</v>
      </c>
      <c r="F20" s="16">
        <f>Rehuntuotanto!I43</f>
        <v>2000</v>
      </c>
      <c r="G20" s="36">
        <f>E20*F20</f>
        <v>10000</v>
      </c>
      <c r="H20" s="36">
        <f>Rehuntuotanto!K43</f>
        <v>22000</v>
      </c>
      <c r="I20" s="53">
        <f>H20*E20</f>
        <v>110000</v>
      </c>
      <c r="K20" s="265" t="s">
        <v>283</v>
      </c>
      <c r="L20" s="36">
        <f>Lähtötiedot!C49</f>
        <v>0</v>
      </c>
      <c r="M20" s="36">
        <f t="shared" si="4"/>
        <v>0</v>
      </c>
      <c r="N20" s="23">
        <f t="shared" si="10"/>
        <v>0.88139743694392292</v>
      </c>
      <c r="O20" s="269">
        <f>M20*N20</f>
        <v>0</v>
      </c>
      <c r="P20" s="19"/>
      <c r="Q20" s="19"/>
      <c r="S20" s="39"/>
      <c r="T20" s="267" t="str">
        <f t="shared" si="5"/>
        <v>Muut  urakointikust.</v>
      </c>
      <c r="U20" s="39"/>
      <c r="V20" s="47">
        <f t="shared" si="6"/>
        <v>0</v>
      </c>
      <c r="W20" s="69">
        <f t="shared" si="7"/>
        <v>0</v>
      </c>
      <c r="X20" s="284">
        <f>Tuotantokustannusvertailu!N20</f>
        <v>0</v>
      </c>
      <c r="Y20" s="70">
        <f t="shared" si="1"/>
        <v>0</v>
      </c>
      <c r="Z20" s="287">
        <f>Tuotantokustannusvertailu!AC20</f>
        <v>1.1946386946386947</v>
      </c>
      <c r="AA20" s="71">
        <f t="shared" si="2"/>
        <v>7.4676106171596132E-2</v>
      </c>
      <c r="AD20" s="45" t="str">
        <f t="shared" si="8"/>
        <v>Muut  urakointikust.</v>
      </c>
      <c r="AE20" s="44" t="str">
        <f t="shared" si="9"/>
        <v>on pienempi kuin vertailulaskelmissa</v>
      </c>
      <c r="AG20" s="39"/>
    </row>
    <row r="21" spans="2:33" ht="15" thickBot="1" x14ac:dyDescent="0.4">
      <c r="B21" s="243" t="s">
        <v>425</v>
      </c>
      <c r="C21" s="735" t="s">
        <v>348</v>
      </c>
      <c r="D21" s="736"/>
      <c r="E21" s="741">
        <f>'Rehun käyttö, nettosato'!E21</f>
        <v>4</v>
      </c>
      <c r="F21" s="16">
        <f>Rehuntuotanto!I50</f>
        <v>4300</v>
      </c>
      <c r="G21" s="36">
        <f>E21*F21</f>
        <v>17200</v>
      </c>
      <c r="H21" s="36">
        <f>Rehuntuotanto!K50</f>
        <v>45150</v>
      </c>
      <c r="I21" s="53">
        <f>H21*E21</f>
        <v>180600</v>
      </c>
      <c r="K21" s="265" t="s">
        <v>50</v>
      </c>
      <c r="L21" s="36">
        <f>Lähtötiedot!C50</f>
        <v>0</v>
      </c>
      <c r="M21" s="36">
        <f t="shared" si="4"/>
        <v>0</v>
      </c>
      <c r="N21" s="23">
        <f t="shared" si="10"/>
        <v>0.88139743694392292</v>
      </c>
      <c r="O21" s="269">
        <f>M21*N21</f>
        <v>0</v>
      </c>
      <c r="P21" s="19"/>
      <c r="Q21" s="19"/>
      <c r="S21" s="39"/>
      <c r="T21" s="267" t="str">
        <f>K21</f>
        <v>Muut muuttuvat kustannukset</v>
      </c>
      <c r="U21" s="39"/>
      <c r="V21" s="47">
        <f t="shared" si="6"/>
        <v>0</v>
      </c>
      <c r="W21" s="69">
        <f t="shared" si="7"/>
        <v>0</v>
      </c>
      <c r="X21" s="284">
        <f>Tuotantokustannusvertailu!N21</f>
        <v>2.8498147620404674E-2</v>
      </c>
      <c r="Y21" s="70">
        <f>X21/$X$38</f>
        <v>1.5264521124599478E-3</v>
      </c>
      <c r="Z21" s="287">
        <f>Tuotantokustannusvertailu!AC21</f>
        <v>0</v>
      </c>
      <c r="AA21" s="71">
        <f>Z21/$Z$38</f>
        <v>0</v>
      </c>
      <c r="AD21" s="45" t="str">
        <f t="shared" si="8"/>
        <v>Muut muuttuvat kustannukset</v>
      </c>
      <c r="AE21" s="44" t="str">
        <f>IF(V21&gt;X21,"ovat suuremmat kuin vertailulaskelmissa","ovat pienemmät kuin vertailulaskelmissa")</f>
        <v>ovat pienemmät kuin vertailulaskelmissa</v>
      </c>
      <c r="AG21" s="39"/>
    </row>
    <row r="22" spans="2:33" ht="15.5" thickTop="1" thickBot="1" x14ac:dyDescent="0.4">
      <c r="B22" s="39" t="s">
        <v>14</v>
      </c>
      <c r="C22" s="39"/>
      <c r="D22" s="39"/>
      <c r="E22" s="742">
        <f>'Rehun käyttö, nettosato'!E22</f>
        <v>0</v>
      </c>
      <c r="F22" s="39"/>
      <c r="G22" s="743"/>
      <c r="H22" s="39"/>
      <c r="I22" s="39"/>
      <c r="K22" s="72" t="s">
        <v>53</v>
      </c>
      <c r="L22" s="36">
        <f>SUM(O13:O21,O26:O27)*Q22</f>
        <v>357.9192310831769</v>
      </c>
      <c r="M22" s="36">
        <f>L22*Q34</f>
        <v>17.895961554158845</v>
      </c>
      <c r="N22" s="22">
        <v>1</v>
      </c>
      <c r="O22" s="269">
        <f>M22*N22</f>
        <v>17.895961554158845</v>
      </c>
      <c r="P22" s="19"/>
      <c r="Q22" s="23">
        <v>0.5</v>
      </c>
      <c r="S22" s="39"/>
      <c r="T22" s="267" t="str">
        <f>K22</f>
        <v>Liikepääoman korko</v>
      </c>
      <c r="V22" s="47">
        <f t="shared" si="6"/>
        <v>0.218243433587303</v>
      </c>
      <c r="W22" s="69">
        <f t="shared" si="7"/>
        <v>1.0619534708955396E-2</v>
      </c>
      <c r="X22" s="284">
        <f>Tuotantokustannusvertailu!N22</f>
        <v>0.25776574522656032</v>
      </c>
      <c r="Y22" s="70">
        <f t="shared" si="1"/>
        <v>1.380675935720023E-2</v>
      </c>
      <c r="Z22" s="287">
        <f>Tuotantokustannusvertailu!AC22</f>
        <v>0.19153797591297589</v>
      </c>
      <c r="AA22" s="71">
        <f t="shared" si="2"/>
        <v>1.1972917242142311E-2</v>
      </c>
      <c r="AD22" s="45" t="str">
        <f t="shared" si="8"/>
        <v>Liikepääoman korko</v>
      </c>
      <c r="AE22" s="44" t="str">
        <f>IF(V22&gt;X22,"on suurempi kuin vertailulaskelmissa","on pienempi kuin vertailulaskelmissa")</f>
        <v>on pienempi kuin vertailulaskelmissa</v>
      </c>
      <c r="AG22" s="39"/>
    </row>
    <row r="23" spans="2:33" ht="15" thickBot="1" x14ac:dyDescent="0.4">
      <c r="B23" s="39" t="s">
        <v>16</v>
      </c>
      <c r="C23" s="39"/>
      <c r="D23" s="39"/>
      <c r="E23" s="428">
        <f>E22+E16</f>
        <v>29</v>
      </c>
      <c r="F23" s="39"/>
      <c r="G23" s="39"/>
      <c r="H23" s="39"/>
      <c r="I23" s="39"/>
      <c r="K23" s="19"/>
      <c r="L23" s="19"/>
      <c r="M23" s="19"/>
      <c r="N23" s="19"/>
      <c r="O23" s="273"/>
      <c r="P23" s="19"/>
      <c r="Q23" s="19"/>
      <c r="S23" s="39"/>
      <c r="T23" s="39"/>
      <c r="U23" s="39"/>
      <c r="V23" s="34"/>
      <c r="W23" s="39"/>
      <c r="X23" s="285"/>
      <c r="Y23" s="57"/>
      <c r="Z23" s="288"/>
      <c r="AA23" s="58"/>
      <c r="AG23" s="39"/>
    </row>
    <row r="24" spans="2:33" x14ac:dyDescent="0.35">
      <c r="B24" s="39"/>
      <c r="C24" s="39"/>
      <c r="D24" s="39"/>
      <c r="E24" s="39"/>
      <c r="F24" s="39"/>
      <c r="G24" s="39"/>
      <c r="H24" s="39"/>
      <c r="I24" s="39"/>
      <c r="K24" s="19"/>
      <c r="L24" s="19" t="s">
        <v>471</v>
      </c>
      <c r="M24" s="122" t="s">
        <v>497</v>
      </c>
      <c r="N24" s="34" t="s">
        <v>251</v>
      </c>
      <c r="O24" s="272" t="s">
        <v>251</v>
      </c>
      <c r="P24" s="19"/>
      <c r="Q24" s="19"/>
      <c r="S24" s="39"/>
      <c r="T24" s="39"/>
      <c r="U24" s="39"/>
      <c r="V24" s="663" t="s">
        <v>39</v>
      </c>
      <c r="W24" s="50" t="s">
        <v>43</v>
      </c>
      <c r="X24" s="59" t="s">
        <v>39</v>
      </c>
      <c r="Y24" s="59" t="s">
        <v>43</v>
      </c>
      <c r="Z24" s="60" t="s">
        <v>39</v>
      </c>
      <c r="AA24" s="60" t="s">
        <v>43</v>
      </c>
      <c r="AG24" s="39"/>
    </row>
    <row r="25" spans="2:33" ht="15.5" x14ac:dyDescent="0.35">
      <c r="B25" s="39"/>
      <c r="C25" s="39"/>
      <c r="D25" s="39"/>
      <c r="E25" s="39"/>
      <c r="F25" s="39"/>
      <c r="G25" s="39"/>
      <c r="H25" s="39"/>
      <c r="I25" s="39"/>
      <c r="K25" s="51" t="s">
        <v>54</v>
      </c>
      <c r="L25" s="262" t="s">
        <v>472</v>
      </c>
      <c r="M25" s="263" t="s">
        <v>238</v>
      </c>
      <c r="N25" s="264" t="s">
        <v>38</v>
      </c>
      <c r="O25" s="274" t="s">
        <v>469</v>
      </c>
      <c r="P25" s="34" t="s">
        <v>466</v>
      </c>
      <c r="Q25" s="34" t="s">
        <v>467</v>
      </c>
      <c r="S25" s="61" t="s">
        <v>54</v>
      </c>
      <c r="T25" s="39"/>
      <c r="U25" s="39"/>
      <c r="V25" s="261">
        <f>SUM(V26:V27)</f>
        <v>2.2804878048780486</v>
      </c>
      <c r="W25" s="63">
        <f>IF(V$38=0,0,V25/V$38)</f>
        <v>0.11096654318153507</v>
      </c>
      <c r="X25" s="283">
        <f>SUM(X26:X27)</f>
        <v>4.3260188087774294</v>
      </c>
      <c r="Y25" s="65">
        <f>X25/$X$38</f>
        <v>0.23171543067142006</v>
      </c>
      <c r="Z25" s="286">
        <f>SUM(Z26:Z27)</f>
        <v>1.125</v>
      </c>
      <c r="AA25" s="67">
        <f>Z25/$Z$38</f>
        <v>7.0323035592325042E-2</v>
      </c>
      <c r="AD25" s="45" t="str">
        <f>S25</f>
        <v>Työkustannus</v>
      </c>
      <c r="AE25" s="44" t="str">
        <f>IF(V25&gt;X25,"on suurempi kuin vertailulaskelmissa","on pienempi kuin vertailulaskelmissa")</f>
        <v>on pienempi kuin vertailulaskelmissa</v>
      </c>
      <c r="AG25" s="39"/>
    </row>
    <row r="26" spans="2:33" x14ac:dyDescent="0.35">
      <c r="B26" s="77" t="s">
        <v>47</v>
      </c>
      <c r="C26" s="39"/>
      <c r="D26" s="39"/>
      <c r="E26" s="50" t="s">
        <v>358</v>
      </c>
      <c r="F26" s="50" t="s">
        <v>20</v>
      </c>
      <c r="G26" s="50" t="s">
        <v>21</v>
      </c>
      <c r="H26" s="50" t="s">
        <v>44</v>
      </c>
      <c r="I26" s="75" t="s">
        <v>22</v>
      </c>
      <c r="K26" s="17" t="s">
        <v>56</v>
      </c>
      <c r="L26" s="215">
        <f>Lähtötiedot!G42-L27</f>
        <v>11</v>
      </c>
      <c r="M26" s="36">
        <f>L26*P26</f>
        <v>187</v>
      </c>
      <c r="N26" s="22">
        <v>1</v>
      </c>
      <c r="O26" s="269">
        <f>M26*N26</f>
        <v>187</v>
      </c>
      <c r="P26" s="256">
        <v>17</v>
      </c>
      <c r="Q26" s="215">
        <f>IF(P26=0,0,O26/P26)</f>
        <v>11</v>
      </c>
      <c r="S26" s="39"/>
      <c r="T26" s="39" t="s">
        <v>243</v>
      </c>
      <c r="U26" s="39"/>
      <c r="V26" s="47">
        <f>IF(M$5=0,0,O26/M$5*100)</f>
        <v>2.2804878048780486</v>
      </c>
      <c r="W26" s="69">
        <f>IF(V$38=0,0,V26/V$38)</f>
        <v>0.11096654318153507</v>
      </c>
      <c r="X26" s="284">
        <f>Tuotantokustannusvertailu!N26</f>
        <v>3.1974921630094042</v>
      </c>
      <c r="Y26" s="70">
        <f>X26/$X$38</f>
        <v>0.17126792701800614</v>
      </c>
      <c r="Z26" s="287">
        <f>Tuotantokustannusvertailu!AC26</f>
        <v>0.86931818181818188</v>
      </c>
      <c r="AA26" s="71">
        <f>Z26/$Z$38</f>
        <v>5.4340527503160263E-2</v>
      </c>
      <c r="AD26" s="45" t="str">
        <f>T26</f>
        <v>Yrittäjäperheen työkust.</v>
      </c>
      <c r="AE26" s="44" t="str">
        <f>IF(V26&gt;X26,"on suurempi kuin vertailulaskelmissa","on pienempi kuin vertailulaskelmissa")</f>
        <v>on pienempi kuin vertailulaskelmissa</v>
      </c>
      <c r="AG26" s="39"/>
    </row>
    <row r="27" spans="2:33" x14ac:dyDescent="0.35">
      <c r="B27" s="77"/>
      <c r="C27" s="744" t="s">
        <v>357</v>
      </c>
      <c r="D27" s="77"/>
      <c r="E27" s="36">
        <f>'Rehun käyttö, nettosato'!E26</f>
        <v>0</v>
      </c>
      <c r="F27" s="36">
        <f>'Rehun käyttö, nettosato'!F26</f>
        <v>2000</v>
      </c>
      <c r="G27" s="745">
        <f>IF(E27=0,0,F27/E27)</f>
        <v>0</v>
      </c>
      <c r="H27" s="53">
        <f>'Rehun käyttö, nettosato'!H26</f>
        <v>0</v>
      </c>
      <c r="I27" s="53">
        <f>'Rehun käyttö, nettosato'!I26</f>
        <v>0</v>
      </c>
      <c r="K27" s="17" t="s">
        <v>61</v>
      </c>
      <c r="L27" s="33">
        <f>IF(Lähtötiedot!C33=0,0,Lähtötiedot!H49/Lähtötiedot!C33)</f>
        <v>0</v>
      </c>
      <c r="M27" s="36">
        <f>L27*P27</f>
        <v>0</v>
      </c>
      <c r="N27" s="22">
        <v>1</v>
      </c>
      <c r="O27" s="269">
        <f>M27*N27</f>
        <v>0</v>
      </c>
      <c r="P27" s="256">
        <v>15</v>
      </c>
      <c r="Q27" s="215">
        <f>IF(P27=0,0,O27/P27)</f>
        <v>0</v>
      </c>
      <c r="S27" s="39"/>
      <c r="T27" s="39" t="s">
        <v>62</v>
      </c>
      <c r="U27" s="39"/>
      <c r="V27" s="47">
        <f>IF(M$5=0,0,O27/M$5*100)</f>
        <v>0</v>
      </c>
      <c r="W27" s="69">
        <f>IF(V$38=0,0,V27/V$38)</f>
        <v>0</v>
      </c>
      <c r="X27" s="284">
        <f>Tuotantokustannusvertailu!N27</f>
        <v>1.128526645768025</v>
      </c>
      <c r="Y27" s="70">
        <f>X27/$X$38</f>
        <v>6.0447503653413927E-2</v>
      </c>
      <c r="Z27" s="287">
        <f>Tuotantokustannusvertailu!AC27</f>
        <v>0.25568181818181818</v>
      </c>
      <c r="AA27" s="71">
        <f>Z27/$Z$38</f>
        <v>1.5982508089164783E-2</v>
      </c>
      <c r="AD27" s="45" t="str">
        <f>T27</f>
        <v>Palkkatyökustannus</v>
      </c>
      <c r="AE27" s="44" t="str">
        <f>IF(V27&gt;X27,"on suurempi kuin vertailulaskelmissa","on pienempi kuin vertailulaskelmissa")</f>
        <v>on pienempi kuin vertailulaskelmissa</v>
      </c>
      <c r="AG27" s="39"/>
    </row>
    <row r="28" spans="2:33" x14ac:dyDescent="0.35">
      <c r="B28" s="77"/>
      <c r="C28" s="744" t="s">
        <v>360</v>
      </c>
      <c r="D28" s="39"/>
      <c r="E28" s="36">
        <f>'Rehun käyttö, nettosato'!E27</f>
        <v>0</v>
      </c>
      <c r="F28" s="36">
        <f>'Rehun käyttö, nettosato'!F27</f>
        <v>0</v>
      </c>
      <c r="G28" s="745">
        <f>IF(E28=0,0,F28/E28)</f>
        <v>0</v>
      </c>
      <c r="H28" s="53">
        <f>'Rehun käyttö, nettosato'!H27</f>
        <v>0</v>
      </c>
      <c r="I28" s="53">
        <f>'Rehun käyttö, nettosato'!I27</f>
        <v>0</v>
      </c>
      <c r="K28" s="97"/>
      <c r="L28" s="19"/>
      <c r="M28" s="19"/>
      <c r="N28" s="19"/>
      <c r="O28" s="273"/>
      <c r="P28" s="19"/>
      <c r="Q28" s="19"/>
      <c r="S28" s="39"/>
      <c r="T28" s="39"/>
      <c r="U28" s="39"/>
      <c r="V28" s="34"/>
      <c r="W28" s="39"/>
      <c r="X28" s="285"/>
      <c r="Y28" s="57"/>
      <c r="Z28" s="288"/>
      <c r="AA28" s="58"/>
      <c r="AD28" s="45"/>
      <c r="AG28" s="39"/>
    </row>
    <row r="29" spans="2:33" ht="15" customHeight="1" thickBot="1" x14ac:dyDescent="0.4">
      <c r="B29" s="77"/>
      <c r="C29" s="744" t="s">
        <v>359</v>
      </c>
      <c r="D29" s="77"/>
      <c r="E29" s="36">
        <f>'Rehun käyttö, nettosato'!E28</f>
        <v>0</v>
      </c>
      <c r="F29" s="36">
        <f>'Rehun käyttö, nettosato'!F28</f>
        <v>600</v>
      </c>
      <c r="G29" s="745">
        <f>IF(E29=0,0,F29/E29)</f>
        <v>0</v>
      </c>
      <c r="H29" s="39"/>
      <c r="I29" s="730"/>
      <c r="K29" s="51" t="s">
        <v>63</v>
      </c>
      <c r="L29" s="19"/>
      <c r="M29" s="122" t="s">
        <v>497</v>
      </c>
      <c r="N29" s="34" t="s">
        <v>251</v>
      </c>
      <c r="O29" s="272" t="s">
        <v>251</v>
      </c>
      <c r="P29" s="19"/>
      <c r="Q29" s="19"/>
      <c r="S29" s="39"/>
      <c r="T29" s="39"/>
      <c r="U29" s="39"/>
      <c r="V29" s="663" t="s">
        <v>39</v>
      </c>
      <c r="W29" s="50" t="s">
        <v>43</v>
      </c>
      <c r="X29" s="59" t="s">
        <v>39</v>
      </c>
      <c r="Y29" s="59" t="s">
        <v>43</v>
      </c>
      <c r="Z29" s="60" t="s">
        <v>39</v>
      </c>
      <c r="AA29" s="60" t="s">
        <v>43</v>
      </c>
      <c r="AD29" s="45" t="str">
        <f>S30</f>
        <v>Kiinteät kustannukset</v>
      </c>
      <c r="AE29" s="44" t="str">
        <f>IF(V29&gt;X29,"on suurempi kuin vertailulaskelmissa","on pienempi kuin vertailulaskelmissa")</f>
        <v>on pienempi kuin vertailulaskelmissa</v>
      </c>
      <c r="AG29" s="39"/>
    </row>
    <row r="30" spans="2:33" ht="15" customHeight="1" thickTop="1" x14ac:dyDescent="0.35">
      <c r="B30" s="77"/>
      <c r="C30" s="77"/>
      <c r="D30" s="39"/>
      <c r="E30" s="39"/>
      <c r="F30" s="39"/>
      <c r="G30" s="623"/>
      <c r="H30" s="39"/>
      <c r="I30" s="730"/>
      <c r="K30" s="277" t="s">
        <v>64</v>
      </c>
      <c r="L30" s="292" t="s">
        <v>769</v>
      </c>
      <c r="M30" s="263" t="s">
        <v>238</v>
      </c>
      <c r="N30" s="264" t="s">
        <v>38</v>
      </c>
      <c r="O30" s="274" t="s">
        <v>469</v>
      </c>
      <c r="P30" s="34" t="s">
        <v>20</v>
      </c>
      <c r="Q30" s="34" t="s">
        <v>470</v>
      </c>
      <c r="S30" s="61" t="s">
        <v>63</v>
      </c>
      <c r="T30" s="39"/>
      <c r="U30" s="39"/>
      <c r="V30" s="261">
        <f>SUM(V31:V36)</f>
        <v>11.603148775071244</v>
      </c>
      <c r="W30" s="63">
        <f t="shared" ref="W30:W36" si="11">IF(V$38=0,0,V30/V$38)</f>
        <v>0.56459907693282863</v>
      </c>
      <c r="X30" s="283">
        <f>SUM(X31:X36)</f>
        <v>8.1011371403715895</v>
      </c>
      <c r="Y30" s="65">
        <f>X30/$X$38</f>
        <v>0.43392286635479066</v>
      </c>
      <c r="Z30" s="286">
        <f>SUM(Z31:Z36)</f>
        <v>8.1445459141797176</v>
      </c>
      <c r="AA30" s="67">
        <f>Z30/$Z$38</f>
        <v>0.50911039307216521</v>
      </c>
      <c r="AD30" s="45"/>
      <c r="AG30" s="39"/>
    </row>
    <row r="31" spans="2:33" x14ac:dyDescent="0.35">
      <c r="B31" s="77" t="s">
        <v>28</v>
      </c>
      <c r="C31" s="39"/>
      <c r="D31" s="39"/>
      <c r="E31" s="50" t="s">
        <v>27</v>
      </c>
      <c r="F31" s="50" t="s">
        <v>20</v>
      </c>
      <c r="G31" s="50" t="s">
        <v>25</v>
      </c>
      <c r="H31" s="39"/>
      <c r="I31" s="75" t="s">
        <v>22</v>
      </c>
      <c r="K31" s="278" t="s">
        <v>474</v>
      </c>
      <c r="L31" s="431">
        <f>Lähtötiedot!M42</f>
        <v>75000</v>
      </c>
      <c r="M31" s="16">
        <f>IF(O$3=0,0,L31/Lähtötiedot!L42/O$3)</f>
        <v>172.41379310344828</v>
      </c>
      <c r="N31" s="23">
        <f t="shared" ref="N31:N36" si="12">N$14</f>
        <v>0.88139743694392292</v>
      </c>
      <c r="O31" s="269">
        <f t="shared" ref="O31:O36" si="13">M31*N31</f>
        <v>151.96507533515913</v>
      </c>
      <c r="P31" s="16">
        <f>L31/15</f>
        <v>5000</v>
      </c>
      <c r="Q31" s="266">
        <v>0.03</v>
      </c>
      <c r="S31" s="39"/>
      <c r="T31" s="39" t="s">
        <v>67</v>
      </c>
      <c r="U31" s="39"/>
      <c r="V31" s="47">
        <f t="shared" ref="V31:V36" si="14">IF(M$5=0,0,O31/M$5*100)</f>
        <v>1.8532326260385261</v>
      </c>
      <c r="W31" s="69">
        <f t="shared" si="11"/>
        <v>9.0176679648471481E-2</v>
      </c>
      <c r="X31" s="284">
        <f>Tuotantokustannusvertailu!N31</f>
        <v>2.5518341307814993</v>
      </c>
      <c r="Y31" s="70">
        <f t="shared" ref="Y31:Y36" si="15">X31/$X$38</f>
        <v>0.1366844137192206</v>
      </c>
      <c r="Z31" s="287">
        <f>Tuotantokustannusvertailu!AC31</f>
        <v>2.2833973538198893</v>
      </c>
      <c r="AA31" s="71">
        <f t="shared" ref="AA31:AA36" si="16">Z31/$Z$38</f>
        <v>0.1427337185636417</v>
      </c>
      <c r="AD31" s="45" t="str">
        <f>T31</f>
        <v>Konepoistot</v>
      </c>
      <c r="AE31" s="44" t="str">
        <f>IF(V31&gt;X31,"ovat suuremmat kuin vertailulaskelmissa","ovat pienemmät kuin vertailulaskelmissa")</f>
        <v>ovat pienemmät kuin vertailulaskelmissa</v>
      </c>
      <c r="AG31" s="39"/>
    </row>
    <row r="32" spans="2:33" ht="15" thickBot="1" x14ac:dyDescent="0.4">
      <c r="B32" s="39"/>
      <c r="C32" s="300" t="s">
        <v>361</v>
      </c>
      <c r="D32" s="640"/>
      <c r="E32" s="36">
        <f>'Rehun käyttö, nettosato'!E31</f>
        <v>0</v>
      </c>
      <c r="F32" s="36">
        <f>'Rehun käyttö, nettosato'!F31</f>
        <v>0</v>
      </c>
      <c r="G32" s="745">
        <f>IF(E32=0,0,F32/E32)</f>
        <v>0</v>
      </c>
      <c r="H32" s="39"/>
      <c r="I32" s="53">
        <f>'Rehun käyttö, nettosato'!I31</f>
        <v>0</v>
      </c>
      <c r="K32" s="279" t="s">
        <v>68</v>
      </c>
      <c r="L32" s="432">
        <f>Lähtötiedot!M43</f>
        <v>200000</v>
      </c>
      <c r="M32" s="16">
        <f>IF(O$3=0,0,L32/Lähtötiedot!L43/O$3)</f>
        <v>459.77011494252878</v>
      </c>
      <c r="N32" s="23">
        <f t="shared" si="12"/>
        <v>0.88139743694392292</v>
      </c>
      <c r="O32" s="269">
        <f t="shared" si="13"/>
        <v>405.24020089375767</v>
      </c>
      <c r="P32" s="16">
        <f>L32/15</f>
        <v>13333.333333333334</v>
      </c>
      <c r="Q32" s="266">
        <v>0.01</v>
      </c>
      <c r="S32" s="39"/>
      <c r="T32" s="39" t="s">
        <v>69</v>
      </c>
      <c r="U32" s="39"/>
      <c r="V32" s="47">
        <f t="shared" si="14"/>
        <v>4.9419536694360691</v>
      </c>
      <c r="W32" s="69">
        <f t="shared" si="11"/>
        <v>0.24047114572925726</v>
      </c>
      <c r="X32" s="284">
        <f>Tuotantokustannusvertailu!N32</f>
        <v>0.31426528704205658</v>
      </c>
      <c r="Y32" s="70">
        <f t="shared" si="15"/>
        <v>1.6833055876751307E-2</v>
      </c>
      <c r="Z32" s="287">
        <f>Tuotantokustannusvertailu!AC32</f>
        <v>0.38412291933418691</v>
      </c>
      <c r="AA32" s="71">
        <f t="shared" si="16"/>
        <v>2.4011279758369624E-2</v>
      </c>
      <c r="AD32" s="45" t="str">
        <f>T32</f>
        <v>Rakennuspoistot</v>
      </c>
      <c r="AE32" s="44" t="str">
        <f>IF(V32&gt;X32,"ovat suuremmat kuin vertailulaskelmissa","ovat pienemmät kuin vertailulaskelmissa")</f>
        <v>ovat suuremmat kuin vertailulaskelmissa</v>
      </c>
      <c r="AG32" s="39"/>
    </row>
    <row r="33" spans="2:33" ht="15" thickTop="1" x14ac:dyDescent="0.35">
      <c r="B33" s="39"/>
      <c r="C33" s="300" t="s">
        <v>362</v>
      </c>
      <c r="D33" s="640"/>
      <c r="E33" s="36">
        <f>'Rehun käyttö, nettosato'!E32</f>
        <v>0</v>
      </c>
      <c r="F33" s="36">
        <f>'Rehun käyttö, nettosato'!F32</f>
        <v>0</v>
      </c>
      <c r="G33" s="745">
        <f>IF(E33=0,0,F33/E33)</f>
        <v>0</v>
      </c>
      <c r="H33" s="39"/>
      <c r="I33" s="53">
        <f>'Rehun käyttö, nettosato'!I32</f>
        <v>0</v>
      </c>
      <c r="K33" s="276" t="s">
        <v>71</v>
      </c>
      <c r="L33" s="96">
        <f>Lähtötiedot!M47+Lähtötiedot!M48</f>
        <v>2500</v>
      </c>
      <c r="M33" s="24">
        <f>IF(O$3=0,0,L33/O$3)</f>
        <v>86.206896551724142</v>
      </c>
      <c r="N33" s="23">
        <f t="shared" si="12"/>
        <v>0.88139743694392292</v>
      </c>
      <c r="O33" s="269">
        <f t="shared" si="13"/>
        <v>75.982537667579564</v>
      </c>
      <c r="Q33" s="24">
        <f>IF(P$3="Tarkista",0,(L32*Q32+L31*Q31)/P$3)</f>
        <v>212.5</v>
      </c>
      <c r="S33" s="39"/>
      <c r="T33" s="39" t="str">
        <f>K33</f>
        <v>Huolto ja kunnossapito</v>
      </c>
      <c r="U33" s="39"/>
      <c r="V33" s="47">
        <f t="shared" si="14"/>
        <v>0.92661631301926306</v>
      </c>
      <c r="W33" s="69">
        <f t="shared" si="11"/>
        <v>4.508833982423574E-2</v>
      </c>
      <c r="X33" s="284">
        <f>Tuotantokustannusvertailu!N33</f>
        <v>1.4707615433568246</v>
      </c>
      <c r="Y33" s="70">
        <f t="shared" si="15"/>
        <v>7.8778701503196102E-2</v>
      </c>
      <c r="Z33" s="287">
        <f>Tuotantokustannusvertailu!AC33</f>
        <v>1.0883482714468631</v>
      </c>
      <c r="AA33" s="71">
        <f t="shared" si="16"/>
        <v>6.8031959315380613E-2</v>
      </c>
      <c r="AD33" s="45" t="str">
        <f>T33</f>
        <v>Huolto ja kunnossapito</v>
      </c>
      <c r="AE33" s="44" t="str">
        <f>IF(V33&gt;X33,"on suurempi kuin vertailulaskelmissa","on pienempi kuin vertailulaskelmissa")</f>
        <v>on pienempi kuin vertailulaskelmissa</v>
      </c>
      <c r="AG33" s="39"/>
    </row>
    <row r="34" spans="2:33" x14ac:dyDescent="0.35">
      <c r="B34" s="39"/>
      <c r="C34" s="746" t="s">
        <v>419</v>
      </c>
      <c r="D34" s="640"/>
      <c r="E34" s="36">
        <f>'Rehun käyttö, nettosato'!E33</f>
        <v>0</v>
      </c>
      <c r="F34" s="36">
        <f>'Rehun käyttö, nettosato'!F33</f>
        <v>0</v>
      </c>
      <c r="G34" s="745">
        <f>IF(E34=0,0,F34/E34)</f>
        <v>0</v>
      </c>
      <c r="H34" s="39"/>
      <c r="I34" s="53">
        <f>'Rehun käyttö, nettosato'!I33</f>
        <v>0</v>
      </c>
      <c r="K34" s="14" t="s">
        <v>73</v>
      </c>
      <c r="L34" s="36">
        <f>(L31+L32+L36)/2*Q34</f>
        <v>7125</v>
      </c>
      <c r="M34" s="16">
        <f>IF(O$3=0,0,(L31/2+L32/2)*Q34/O$3)</f>
        <v>237.06896551724137</v>
      </c>
      <c r="N34" s="23">
        <f t="shared" si="12"/>
        <v>0.88139743694392292</v>
      </c>
      <c r="O34" s="269">
        <f t="shared" si="13"/>
        <v>208.95197858584379</v>
      </c>
      <c r="P34" s="19"/>
      <c r="Q34" s="23">
        <v>0.05</v>
      </c>
      <c r="S34" s="39"/>
      <c r="T34" s="39" t="str">
        <f>K34</f>
        <v>Korko</v>
      </c>
      <c r="U34" s="39"/>
      <c r="V34" s="47">
        <f t="shared" si="14"/>
        <v>2.548194860802973</v>
      </c>
      <c r="W34" s="69">
        <f t="shared" si="11"/>
        <v>0.12399293451664826</v>
      </c>
      <c r="X34" s="284">
        <f>Tuotantokustannusvertailu!N34</f>
        <v>1.0747872816838333</v>
      </c>
      <c r="Y34" s="70">
        <f t="shared" si="15"/>
        <v>5.7569051098489456E-2</v>
      </c>
      <c r="Z34" s="287">
        <f>Tuotantokustannusvertailu!AC34</f>
        <v>1.0003201024327786</v>
      </c>
      <c r="AA34" s="71">
        <f t="shared" si="16"/>
        <v>6.2529374370754245E-2</v>
      </c>
      <c r="AD34" s="45" t="str">
        <f>T34</f>
        <v>Korko</v>
      </c>
      <c r="AE34" s="44" t="str">
        <f>IF(V34&gt;X34,"on suurempi kuin vertailulaskelmissa","on pienempi kuin vertailulaskelmissa")</f>
        <v>on suurempi kuin vertailulaskelmissa</v>
      </c>
      <c r="AG34" s="39"/>
    </row>
    <row r="35" spans="2:33" ht="15" thickBot="1" x14ac:dyDescent="0.4">
      <c r="B35" s="39"/>
      <c r="C35" s="39"/>
      <c r="D35" s="56" t="s">
        <v>31</v>
      </c>
      <c r="E35" s="39"/>
      <c r="F35" s="39"/>
      <c r="G35" s="39"/>
      <c r="H35" s="39"/>
      <c r="I35" s="53">
        <f>SUM(I32:I34)</f>
        <v>0</v>
      </c>
      <c r="K35" s="289" t="s">
        <v>74</v>
      </c>
      <c r="L35" s="125">
        <f>M35*P$3</f>
        <v>2020.7999999999997</v>
      </c>
      <c r="M35" s="36">
        <f>O8*Q35</f>
        <v>101.03999999999999</v>
      </c>
      <c r="N35" s="23">
        <f t="shared" si="12"/>
        <v>0.88139743694392292</v>
      </c>
      <c r="O35" s="269">
        <f t="shared" si="13"/>
        <v>89.056397028813961</v>
      </c>
      <c r="P35" s="19"/>
      <c r="Q35" s="23">
        <v>0.06</v>
      </c>
      <c r="S35" s="39"/>
      <c r="T35" s="39" t="str">
        <f>K35</f>
        <v>Yleiskustannus</v>
      </c>
      <c r="U35" s="39"/>
      <c r="V35" s="47">
        <f t="shared" si="14"/>
        <v>1.0860536223026094</v>
      </c>
      <c r="W35" s="69">
        <f t="shared" si="11"/>
        <v>5.2846419927753033E-2</v>
      </c>
      <c r="X35" s="284">
        <f>Tuotantokustannusvertailu!N35</f>
        <v>1.935252208606441</v>
      </c>
      <c r="Y35" s="70">
        <f t="shared" si="15"/>
        <v>0.10365831005293015</v>
      </c>
      <c r="Z35" s="287">
        <f>Tuotantokustannusvertailu!AC35</f>
        <v>1.7522781662781663</v>
      </c>
      <c r="AA35" s="71">
        <f t="shared" si="16"/>
        <v>0.10953379542651871</v>
      </c>
      <c r="AD35" s="45" t="str">
        <f>T35</f>
        <v>Yleiskustannus</v>
      </c>
      <c r="AE35" s="44" t="str">
        <f>IF(V35&gt;X35,"on suurempi kuin vertailulaskelmissa","on pienempi kuin vertailulaskelmissa")</f>
        <v>on pienempi kuin vertailulaskelmissa</v>
      </c>
      <c r="AG35" s="39"/>
    </row>
    <row r="36" spans="2:33" ht="15.5" thickTop="1" thickBot="1" x14ac:dyDescent="0.4">
      <c r="C36" s="39"/>
      <c r="D36" s="39"/>
      <c r="E36" s="39"/>
      <c r="F36" s="39"/>
      <c r="G36" s="39"/>
      <c r="H36" s="39"/>
      <c r="I36" s="39"/>
      <c r="K36" s="290" t="s">
        <v>278</v>
      </c>
      <c r="L36" s="319">
        <f>Lähtötiedot!M50</f>
        <v>10000</v>
      </c>
      <c r="M36" s="16">
        <f>IF(O$3=0,0,Lähtötiedot!C51/Lähtötiedot!C39+L36/15/O$3)</f>
        <v>22.988505747126435</v>
      </c>
      <c r="N36" s="23">
        <f t="shared" si="12"/>
        <v>0.88139743694392292</v>
      </c>
      <c r="O36" s="269">
        <f t="shared" si="13"/>
        <v>20.262010044687884</v>
      </c>
      <c r="P36" s="19"/>
      <c r="Q36" s="19"/>
      <c r="S36" s="39"/>
      <c r="T36" s="39" t="str">
        <f>K36</f>
        <v>Pellon kustannukset</v>
      </c>
      <c r="U36" s="39"/>
      <c r="V36" s="47">
        <f t="shared" si="14"/>
        <v>0.24709768347180344</v>
      </c>
      <c r="W36" s="69">
        <f t="shared" si="11"/>
        <v>1.2023557286462863E-2</v>
      </c>
      <c r="X36" s="284">
        <f>Tuotantokustannusvertailu!N36</f>
        <v>0.75423668890093576</v>
      </c>
      <c r="Y36" s="70">
        <f t="shared" si="15"/>
        <v>4.0399334104203134E-2</v>
      </c>
      <c r="Z36" s="287">
        <f>Tuotantokustannusvertailu!AC36</f>
        <v>1.6360791008678333</v>
      </c>
      <c r="AA36" s="71">
        <f t="shared" si="16"/>
        <v>0.10227026563750026</v>
      </c>
      <c r="AD36" s="45"/>
      <c r="AG36" s="39"/>
    </row>
    <row r="37" spans="2:33" ht="15.5" thickTop="1" thickBot="1" x14ac:dyDescent="0.4">
      <c r="B37" s="77" t="s">
        <v>33</v>
      </c>
      <c r="C37" s="39"/>
      <c r="D37" s="39"/>
      <c r="E37" s="39"/>
      <c r="F37" s="39"/>
      <c r="G37" s="39"/>
      <c r="H37" s="39"/>
      <c r="I37" s="747">
        <f>SUM(I17:I28)-I35</f>
        <v>2116241.2371134018</v>
      </c>
      <c r="K37" s="97"/>
      <c r="L37" s="39"/>
      <c r="M37" s="39"/>
      <c r="N37" s="39"/>
      <c r="O37" s="89"/>
      <c r="P37" s="39"/>
      <c r="Q37" s="39"/>
      <c r="S37" s="39"/>
      <c r="T37" s="39"/>
      <c r="U37" s="39"/>
      <c r="V37" s="55"/>
      <c r="W37" s="39"/>
      <c r="X37" s="285"/>
      <c r="Y37" s="57"/>
      <c r="Z37" s="288"/>
      <c r="AA37" s="58"/>
      <c r="AD37" s="45"/>
      <c r="AG37" s="39"/>
    </row>
    <row r="38" spans="2:33" ht="15" thickBot="1" x14ac:dyDescent="0.4">
      <c r="B38" s="255"/>
      <c r="C38" s="11"/>
      <c r="D38" s="245"/>
      <c r="E38" s="123"/>
      <c r="F38" s="76"/>
      <c r="G38" s="11"/>
      <c r="H38" s="11"/>
      <c r="I38" s="11"/>
      <c r="K38" s="39"/>
      <c r="L38" s="39"/>
      <c r="M38" s="39"/>
      <c r="N38" s="403" t="s">
        <v>83</v>
      </c>
      <c r="O38" s="275">
        <f>SUM(O13:O23,O26:O28,O31:O37)</f>
        <v>1685.1926232763547</v>
      </c>
      <c r="P38" s="77" t="s">
        <v>468</v>
      </c>
      <c r="Q38" s="39"/>
      <c r="S38" s="61" t="s">
        <v>500</v>
      </c>
      <c r="T38" s="77"/>
      <c r="V38" s="260">
        <f>SUM(V13:V23,V26:V28,V31:V37)</f>
        <v>20.55112955215067</v>
      </c>
      <c r="W38" s="39"/>
      <c r="X38" s="283">
        <f>SUM(X13:X23,X26:X28,X31:X37)</f>
        <v>18.66953269466056</v>
      </c>
      <c r="Y38" s="57"/>
      <c r="Z38" s="286">
        <f>SUM(Z13:Z23,Z26:Z28,Z31:Z37)</f>
        <v>15.99760292661173</v>
      </c>
      <c r="AA38" s="58"/>
      <c r="AD38" s="45" t="str">
        <f>S38</f>
        <v>Tuotantokust. snt/kg ka</v>
      </c>
      <c r="AE38" s="44" t="str">
        <f>IF(V38&gt;X38,"on suurempi kuin vertailulaskelmissa","on pienempi kuin vertailulaskelmissa")</f>
        <v>on suurempi kuin vertailulaskelmissa</v>
      </c>
      <c r="AG38" s="39"/>
    </row>
    <row r="39" spans="2:33" x14ac:dyDescent="0.35">
      <c r="B39" s="255"/>
      <c r="C39" s="11"/>
      <c r="D39" s="245"/>
      <c r="E39" s="123"/>
      <c r="F39" s="76"/>
      <c r="G39" s="11"/>
      <c r="H39" s="11"/>
      <c r="I39" s="11"/>
      <c r="K39" s="39"/>
      <c r="L39" s="39"/>
      <c r="M39" s="39"/>
      <c r="N39" s="56" t="s">
        <v>499</v>
      </c>
      <c r="O39" s="307">
        <f>O38-O7</f>
        <v>985.19262327635465</v>
      </c>
      <c r="P39" s="39" t="s">
        <v>468</v>
      </c>
      <c r="Q39" s="39"/>
      <c r="S39" s="61"/>
      <c r="T39" s="282" t="s">
        <v>501</v>
      </c>
      <c r="U39" s="39"/>
      <c r="V39" s="281">
        <f>V38-N$7*100</f>
        <v>12.014544186297011</v>
      </c>
      <c r="W39" s="321">
        <f>V38-V39</f>
        <v>8.536585365853659</v>
      </c>
      <c r="X39" s="308">
        <f>Tuotantokustannusvertailu!N39</f>
        <v>11.317010608596155</v>
      </c>
      <c r="Y39" s="322">
        <f>X38-X39</f>
        <v>7.3525220860644058</v>
      </c>
      <c r="Z39" s="309">
        <f>Tuotantokustannusvertailu!AC39</f>
        <v>9.3348212638300652</v>
      </c>
      <c r="AA39" s="323">
        <f>Z38-Z39</f>
        <v>6.6627816627816649</v>
      </c>
      <c r="AD39" s="45"/>
      <c r="AG39" s="39"/>
    </row>
    <row r="40" spans="2:33" s="49" customFormat="1" x14ac:dyDescent="0.35">
      <c r="B40" s="78"/>
      <c r="C40" s="78"/>
      <c r="D40" s="78"/>
      <c r="E40" s="79"/>
      <c r="F40" s="78"/>
      <c r="G40" s="78"/>
      <c r="H40" s="78"/>
      <c r="I40" s="78"/>
      <c r="J40" s="80"/>
      <c r="R40" s="80"/>
      <c r="AD40" s="81"/>
    </row>
    <row r="41" spans="2:33" s="49" customFormat="1" x14ac:dyDescent="0.35">
      <c r="S41" s="212"/>
      <c r="T41" s="212"/>
      <c r="U41" s="212"/>
      <c r="V41" s="212"/>
      <c r="W41" s="212"/>
      <c r="X41" s="310"/>
      <c r="Y41" s="311"/>
      <c r="Z41" s="212"/>
      <c r="AA41" s="212"/>
      <c r="AB41" s="212"/>
      <c r="AC41" s="212"/>
      <c r="AD41" s="310"/>
      <c r="AE41" s="212"/>
    </row>
    <row r="42" spans="2:33" s="49" customFormat="1" x14ac:dyDescent="0.35">
      <c r="S42" s="212"/>
      <c r="T42" s="212"/>
      <c r="U42" s="312" t="s">
        <v>504</v>
      </c>
      <c r="V42" s="212" t="s">
        <v>503</v>
      </c>
      <c r="W42" s="212"/>
      <c r="X42" s="312" t="str">
        <f>X10</f>
        <v>Hyvä</v>
      </c>
      <c r="Y42" s="212" t="s">
        <v>503</v>
      </c>
      <c r="Z42" s="313"/>
      <c r="AA42" s="312" t="str">
        <f>Z10</f>
        <v>Erinomainen</v>
      </c>
      <c r="AB42" s="212" t="s">
        <v>503</v>
      </c>
      <c r="AC42" s="212"/>
      <c r="AD42" s="213"/>
      <c r="AE42" s="213"/>
    </row>
    <row r="43" spans="2:33" s="49" customFormat="1" x14ac:dyDescent="0.35">
      <c r="S43" s="212"/>
      <c r="T43" s="313" t="str">
        <f>S12</f>
        <v>Muuttuvat kustannukset</v>
      </c>
      <c r="U43" s="311">
        <f>V12</f>
        <v>6.6674929722013738</v>
      </c>
      <c r="V43" s="212"/>
      <c r="W43" s="313" t="str">
        <f>T43</f>
        <v>Muuttuvat kustannukset</v>
      </c>
      <c r="X43" s="311">
        <f>X12</f>
        <v>6.2423767455115415</v>
      </c>
      <c r="Y43" s="212"/>
      <c r="Z43" s="313" t="str">
        <f>W43</f>
        <v>Muuttuvat kustannukset</v>
      </c>
      <c r="AA43" s="311">
        <f>Z12</f>
        <v>6.7280570124320116</v>
      </c>
      <c r="AB43" s="212"/>
      <c r="AC43" s="212"/>
      <c r="AD43" s="213"/>
      <c r="AE43" s="213"/>
    </row>
    <row r="44" spans="2:33" s="49" customFormat="1" x14ac:dyDescent="0.35">
      <c r="S44" s="212"/>
      <c r="T44" s="313" t="str">
        <f>S25</f>
        <v>Työkustannus</v>
      </c>
      <c r="U44" s="311">
        <f>V25</f>
        <v>2.2804878048780486</v>
      </c>
      <c r="V44" s="212"/>
      <c r="W44" s="313" t="str">
        <f>T44</f>
        <v>Työkustannus</v>
      </c>
      <c r="X44" s="311">
        <f>X25</f>
        <v>4.3260188087774294</v>
      </c>
      <c r="Y44" s="212"/>
      <c r="Z44" s="313" t="str">
        <f>W44</f>
        <v>Työkustannus</v>
      </c>
      <c r="AA44" s="311">
        <f>Z25</f>
        <v>1.125</v>
      </c>
      <c r="AB44" s="212"/>
      <c r="AC44" s="212"/>
      <c r="AD44" s="213"/>
      <c r="AE44" s="213"/>
    </row>
    <row r="45" spans="2:33" s="49" customFormat="1" x14ac:dyDescent="0.35">
      <c r="S45" s="212"/>
      <c r="T45" s="313" t="str">
        <f>S30</f>
        <v>Kiinteät kustannukset</v>
      </c>
      <c r="U45" s="311">
        <f>V30</f>
        <v>11.603148775071244</v>
      </c>
      <c r="V45" s="212"/>
      <c r="W45" s="313" t="str">
        <f>T45</f>
        <v>Kiinteät kustannukset</v>
      </c>
      <c r="X45" s="311">
        <f>X30</f>
        <v>8.1011371403715895</v>
      </c>
      <c r="Y45" s="212"/>
      <c r="Z45" s="313" t="str">
        <f>W45</f>
        <v>Kiinteät kustannukset</v>
      </c>
      <c r="AA45" s="311">
        <f>Z30</f>
        <v>8.1445459141797176</v>
      </c>
      <c r="AB45" s="212"/>
      <c r="AC45" s="212"/>
      <c r="AD45" s="213"/>
      <c r="AE45" s="213"/>
    </row>
    <row r="46" spans="2:33" s="49" customFormat="1" x14ac:dyDescent="0.35">
      <c r="S46" s="212"/>
      <c r="T46" s="313" t="s">
        <v>502</v>
      </c>
      <c r="U46" s="311"/>
      <c r="V46" s="311">
        <f>V39</f>
        <v>12.014544186297011</v>
      </c>
      <c r="W46" s="311"/>
      <c r="X46" s="311"/>
      <c r="Y46" s="311">
        <f>X39</f>
        <v>11.317010608596155</v>
      </c>
      <c r="Z46" s="311"/>
      <c r="AA46" s="311"/>
      <c r="AB46" s="311">
        <f>Z39</f>
        <v>9.3348212638300652</v>
      </c>
      <c r="AC46" s="311"/>
      <c r="AD46" s="213"/>
      <c r="AE46" s="213"/>
    </row>
    <row r="47" spans="2:33" s="49" customFormat="1" x14ac:dyDescent="0.35">
      <c r="S47" s="212"/>
      <c r="T47" s="212"/>
      <c r="U47" s="212"/>
      <c r="V47" s="212"/>
      <c r="W47" s="212"/>
      <c r="X47" s="212"/>
      <c r="Y47" s="212"/>
      <c r="Z47" s="212"/>
      <c r="AA47" s="212"/>
      <c r="AB47" s="212"/>
      <c r="AC47" s="212"/>
      <c r="AD47" s="212"/>
      <c r="AE47" s="212"/>
    </row>
    <row r="48" spans="2:33" s="49" customFormat="1" x14ac:dyDescent="0.35">
      <c r="S48" s="212"/>
      <c r="T48" s="212"/>
      <c r="U48" s="212"/>
      <c r="V48" s="212"/>
      <c r="W48" s="212"/>
      <c r="X48" s="212"/>
      <c r="Y48" s="212"/>
      <c r="Z48" s="212"/>
      <c r="AA48" s="212"/>
      <c r="AB48" s="212"/>
      <c r="AC48" s="212"/>
      <c r="AD48" s="310"/>
      <c r="AE48" s="212"/>
    </row>
    <row r="49" spans="19:31" s="49" customFormat="1" x14ac:dyDescent="0.35">
      <c r="S49" s="212"/>
      <c r="T49" s="212"/>
      <c r="U49" s="212"/>
      <c r="V49" s="212"/>
      <c r="W49" s="212"/>
      <c r="X49" s="212"/>
      <c r="Y49" s="212"/>
      <c r="Z49" s="212"/>
      <c r="AA49" s="212"/>
      <c r="AB49" s="212"/>
      <c r="AC49" s="212"/>
      <c r="AD49" s="310"/>
      <c r="AE49" s="212"/>
    </row>
    <row r="50" spans="19:31" s="49" customFormat="1" x14ac:dyDescent="0.35">
      <c r="S50" s="212"/>
      <c r="T50" s="212"/>
      <c r="U50" s="212"/>
      <c r="V50" s="212"/>
      <c r="W50" s="212"/>
      <c r="X50" s="212"/>
      <c r="Y50" s="212"/>
      <c r="Z50" s="212"/>
      <c r="AA50" s="212"/>
      <c r="AB50" s="212"/>
      <c r="AC50" s="212"/>
      <c r="AD50" s="310"/>
      <c r="AE50" s="212"/>
    </row>
    <row r="51" spans="19:31" s="49" customFormat="1" x14ac:dyDescent="0.35">
      <c r="S51" s="212"/>
      <c r="T51" s="212"/>
      <c r="U51" s="212"/>
      <c r="V51" s="212"/>
      <c r="W51" s="212"/>
      <c r="X51" s="212"/>
      <c r="Y51" s="212"/>
      <c r="Z51" s="212"/>
      <c r="AA51" s="212"/>
      <c r="AB51" s="212"/>
      <c r="AC51" s="212"/>
      <c r="AD51" s="310"/>
      <c r="AE51" s="212"/>
    </row>
    <row r="52" spans="19:31" s="49" customFormat="1" x14ac:dyDescent="0.35">
      <c r="S52" s="212"/>
      <c r="T52" s="212"/>
      <c r="U52" s="212"/>
      <c r="V52" s="212"/>
      <c r="W52" s="212"/>
      <c r="X52" s="212"/>
      <c r="Y52" s="212"/>
      <c r="Z52" s="212"/>
      <c r="AA52" s="212"/>
      <c r="AB52" s="212"/>
      <c r="AC52" s="212"/>
      <c r="AD52" s="310"/>
      <c r="AE52" s="212"/>
    </row>
    <row r="53" spans="19:31" s="49" customFormat="1" x14ac:dyDescent="0.35">
      <c r="S53" s="212"/>
      <c r="T53" s="212"/>
      <c r="U53" s="212"/>
      <c r="V53" s="212"/>
      <c r="W53" s="212"/>
      <c r="X53" s="212"/>
      <c r="Y53" s="212"/>
      <c r="Z53" s="212"/>
      <c r="AA53" s="212"/>
      <c r="AB53" s="212"/>
      <c r="AC53" s="212"/>
      <c r="AD53" s="310"/>
      <c r="AE53" s="212"/>
    </row>
    <row r="54" spans="19:31" s="49" customFormat="1" x14ac:dyDescent="0.35">
      <c r="S54" s="212"/>
      <c r="T54" s="212"/>
      <c r="U54" s="212"/>
      <c r="V54" s="212"/>
      <c r="W54" s="212"/>
      <c r="X54" s="212"/>
      <c r="Y54" s="212"/>
      <c r="Z54" s="212"/>
      <c r="AA54" s="212"/>
      <c r="AB54" s="212"/>
      <c r="AC54" s="212"/>
      <c r="AD54" s="310"/>
      <c r="AE54" s="212"/>
    </row>
    <row r="55" spans="19:31" s="49" customFormat="1" x14ac:dyDescent="0.35">
      <c r="S55" s="212"/>
      <c r="T55" s="212"/>
      <c r="U55" s="212"/>
      <c r="V55" s="212"/>
      <c r="W55" s="212"/>
      <c r="X55" s="212"/>
      <c r="Y55" s="212"/>
      <c r="Z55" s="212"/>
      <c r="AA55" s="212"/>
      <c r="AB55" s="212"/>
      <c r="AC55" s="212"/>
      <c r="AD55" s="310"/>
      <c r="AE55" s="212"/>
    </row>
    <row r="56" spans="19:31" s="49" customFormat="1" x14ac:dyDescent="0.35">
      <c r="S56" s="212"/>
      <c r="T56" s="212"/>
      <c r="U56" s="212"/>
      <c r="V56" s="212"/>
      <c r="W56" s="212"/>
      <c r="X56" s="212"/>
      <c r="Y56" s="212"/>
      <c r="Z56" s="212"/>
      <c r="AA56" s="212"/>
      <c r="AB56" s="212"/>
      <c r="AC56" s="212"/>
      <c r="AD56" s="310"/>
      <c r="AE56" s="212"/>
    </row>
    <row r="57" spans="19:31" s="49" customFormat="1" x14ac:dyDescent="0.35">
      <c r="S57" s="212"/>
      <c r="T57" s="212"/>
      <c r="U57" s="212"/>
      <c r="V57" s="212"/>
      <c r="W57" s="212"/>
      <c r="X57" s="212"/>
      <c r="Y57" s="212"/>
      <c r="Z57" s="212"/>
      <c r="AA57" s="212"/>
      <c r="AB57" s="212"/>
      <c r="AC57" s="212"/>
      <c r="AD57" s="310"/>
      <c r="AE57" s="212"/>
    </row>
    <row r="58" spans="19:31" s="49" customFormat="1" x14ac:dyDescent="0.35">
      <c r="S58" s="212"/>
      <c r="T58" s="212"/>
      <c r="U58" s="212"/>
      <c r="V58" s="212"/>
      <c r="W58" s="212"/>
      <c r="X58" s="212"/>
      <c r="Y58" s="212"/>
      <c r="Z58" s="212"/>
      <c r="AA58" s="212"/>
      <c r="AB58" s="212"/>
      <c r="AC58" s="212"/>
      <c r="AD58" s="310"/>
      <c r="AE58" s="212"/>
    </row>
    <row r="59" spans="19:31" s="49" customFormat="1" x14ac:dyDescent="0.35">
      <c r="S59" s="212"/>
      <c r="T59" s="212"/>
      <c r="U59" s="212"/>
      <c r="V59" s="212"/>
      <c r="W59" s="212"/>
      <c r="X59" s="212"/>
      <c r="Y59" s="212"/>
      <c r="Z59" s="212"/>
      <c r="AA59" s="212"/>
      <c r="AB59" s="212"/>
      <c r="AC59" s="212"/>
      <c r="AD59" s="310"/>
      <c r="AE59" s="212"/>
    </row>
    <row r="60" spans="19:31" s="49" customFormat="1" x14ac:dyDescent="0.35">
      <c r="S60" s="212"/>
      <c r="T60" s="212"/>
      <c r="U60" s="212"/>
      <c r="V60" s="212"/>
      <c r="W60" s="212"/>
      <c r="X60" s="212"/>
      <c r="Y60" s="212"/>
      <c r="Z60" s="212"/>
      <c r="AA60" s="212"/>
      <c r="AB60" s="212"/>
      <c r="AC60" s="212"/>
      <c r="AD60" s="310"/>
      <c r="AE60" s="212"/>
    </row>
    <row r="61" spans="19:31" s="49" customFormat="1" x14ac:dyDescent="0.35">
      <c r="AD61" s="81"/>
    </row>
    <row r="62" spans="19:31" s="49" customFormat="1" x14ac:dyDescent="0.35">
      <c r="W62" s="212"/>
      <c r="X62" s="212"/>
      <c r="Y62" s="212"/>
      <c r="Z62" s="212"/>
      <c r="AA62" s="212"/>
      <c r="AB62" s="212"/>
      <c r="AC62" s="212"/>
    </row>
    <row r="63" spans="19:31" s="49" customFormat="1" x14ac:dyDescent="0.35">
      <c r="W63" s="213"/>
      <c r="X63" s="213"/>
      <c r="Y63" s="213"/>
      <c r="Z63" s="213"/>
      <c r="AA63" s="213"/>
      <c r="AB63" s="213"/>
      <c r="AC63" s="213"/>
    </row>
    <row r="64" spans="19:31" s="49" customFormat="1" x14ac:dyDescent="0.35">
      <c r="W64" s="213"/>
      <c r="X64" s="213"/>
      <c r="Y64" s="213"/>
      <c r="Z64" s="213"/>
      <c r="AA64" s="213"/>
      <c r="AB64" s="213"/>
      <c r="AC64" s="213"/>
    </row>
    <row r="65" spans="23:30" s="49" customFormat="1" x14ac:dyDescent="0.35">
      <c r="W65" s="213"/>
      <c r="X65" s="213"/>
      <c r="Y65" s="213"/>
      <c r="Z65" s="213"/>
      <c r="AA65" s="213"/>
      <c r="AB65" s="213"/>
      <c r="AC65" s="213"/>
    </row>
    <row r="66" spans="23:30" s="49" customFormat="1" x14ac:dyDescent="0.35">
      <c r="W66" s="213"/>
      <c r="X66" s="213"/>
      <c r="Y66" s="213"/>
      <c r="Z66" s="213"/>
      <c r="AA66" s="213"/>
      <c r="AB66" s="213"/>
      <c r="AC66" s="213"/>
    </row>
    <row r="67" spans="23:30" s="49" customFormat="1" x14ac:dyDescent="0.35">
      <c r="W67" s="213"/>
      <c r="X67" s="213"/>
      <c r="Y67" s="213"/>
      <c r="Z67" s="213"/>
      <c r="AA67" s="213"/>
      <c r="AB67" s="213"/>
      <c r="AC67" s="213"/>
    </row>
    <row r="68" spans="23:30" s="49" customFormat="1" x14ac:dyDescent="0.35">
      <c r="AD68" s="81"/>
    </row>
    <row r="69" spans="23:30" s="49" customFormat="1" x14ac:dyDescent="0.35">
      <c r="AD69" s="81"/>
    </row>
    <row r="70" spans="23:30" s="49" customFormat="1" x14ac:dyDescent="0.35">
      <c r="AD70" s="81"/>
    </row>
    <row r="71" spans="23:30" s="49" customFormat="1" x14ac:dyDescent="0.35">
      <c r="AD71" s="81"/>
    </row>
    <row r="72" spans="23:30" s="49" customFormat="1" x14ac:dyDescent="0.35">
      <c r="AD72" s="81"/>
    </row>
    <row r="73" spans="23:30" s="49" customFormat="1" x14ac:dyDescent="0.35">
      <c r="AD73" s="81"/>
    </row>
    <row r="74" spans="23:30" s="49" customFormat="1" x14ac:dyDescent="0.35">
      <c r="AD74" s="81"/>
    </row>
    <row r="75" spans="23:30" s="49" customFormat="1" x14ac:dyDescent="0.35">
      <c r="AD75" s="81"/>
    </row>
    <row r="76" spans="23:30" s="49" customFormat="1" x14ac:dyDescent="0.35">
      <c r="AD76" s="81"/>
    </row>
    <row r="77" spans="23:30" s="49" customFormat="1" x14ac:dyDescent="0.35">
      <c r="AD77" s="81"/>
    </row>
    <row r="78" spans="23:30" s="49" customFormat="1" x14ac:dyDescent="0.35">
      <c r="AD78" s="81"/>
    </row>
    <row r="79" spans="23:30" s="49" customFormat="1" x14ac:dyDescent="0.35">
      <c r="AD79" s="81"/>
    </row>
    <row r="80" spans="23:30" s="49" customFormat="1" x14ac:dyDescent="0.35">
      <c r="AD80" s="81"/>
    </row>
    <row r="81" spans="30:30" s="49" customFormat="1" x14ac:dyDescent="0.35">
      <c r="AD81" s="81"/>
    </row>
    <row r="82" spans="30:30" s="49" customFormat="1" x14ac:dyDescent="0.35">
      <c r="AD82" s="81"/>
    </row>
    <row r="83" spans="30:30" s="49" customFormat="1" x14ac:dyDescent="0.35">
      <c r="AD83" s="81"/>
    </row>
    <row r="84" spans="30:30" s="49" customFormat="1" x14ac:dyDescent="0.35">
      <c r="AD84" s="81"/>
    </row>
    <row r="85" spans="30:30" s="49" customFormat="1" x14ac:dyDescent="0.35">
      <c r="AD85" s="81"/>
    </row>
    <row r="86" spans="30:30" s="49" customFormat="1" x14ac:dyDescent="0.35">
      <c r="AD86" s="81"/>
    </row>
    <row r="87" spans="30:30" s="49" customFormat="1" x14ac:dyDescent="0.35">
      <c r="AD87" s="81"/>
    </row>
    <row r="88" spans="30:30" s="49" customFormat="1" x14ac:dyDescent="0.35">
      <c r="AD88" s="81"/>
    </row>
    <row r="89" spans="30:30" s="49" customFormat="1" x14ac:dyDescent="0.35">
      <c r="AD89" s="81"/>
    </row>
    <row r="90" spans="30:30" s="49" customFormat="1" x14ac:dyDescent="0.35">
      <c r="AD90" s="81"/>
    </row>
    <row r="91" spans="30:30" s="49" customFormat="1" x14ac:dyDescent="0.35">
      <c r="AD91" s="81"/>
    </row>
    <row r="92" spans="30:30" s="49" customFormat="1" x14ac:dyDescent="0.35">
      <c r="AD92" s="81"/>
    </row>
    <row r="93" spans="30:30" s="49" customFormat="1" x14ac:dyDescent="0.35">
      <c r="AD93" s="81"/>
    </row>
    <row r="94" spans="30:30" s="49" customFormat="1" x14ac:dyDescent="0.35">
      <c r="AD94" s="81"/>
    </row>
    <row r="95" spans="30:30" s="49" customFormat="1" x14ac:dyDescent="0.35">
      <c r="AD95" s="81"/>
    </row>
    <row r="96" spans="30:30" s="49" customFormat="1" x14ac:dyDescent="0.35">
      <c r="AD96" s="81"/>
    </row>
    <row r="97" spans="30:30" s="49" customFormat="1" x14ac:dyDescent="0.35">
      <c r="AD97" s="81"/>
    </row>
    <row r="98" spans="30:30" s="49" customFormat="1" x14ac:dyDescent="0.35">
      <c r="AD98" s="81"/>
    </row>
    <row r="99" spans="30:30" s="49" customFormat="1" x14ac:dyDescent="0.35">
      <c r="AD99" s="81"/>
    </row>
    <row r="100" spans="30:30" s="49" customFormat="1" x14ac:dyDescent="0.35">
      <c r="AD100" s="81"/>
    </row>
    <row r="101" spans="30:30" s="49" customFormat="1" x14ac:dyDescent="0.35">
      <c r="AD101" s="81"/>
    </row>
    <row r="102" spans="30:30" s="49" customFormat="1" x14ac:dyDescent="0.35">
      <c r="AD102" s="81"/>
    </row>
    <row r="103" spans="30:30" s="49" customFormat="1" x14ac:dyDescent="0.35">
      <c r="AD103" s="81"/>
    </row>
    <row r="104" spans="30:30" s="49" customFormat="1" x14ac:dyDescent="0.35">
      <c r="AD104" s="81"/>
    </row>
    <row r="105" spans="30:30" s="49" customFormat="1" x14ac:dyDescent="0.35">
      <c r="AD105" s="81"/>
    </row>
    <row r="106" spans="30:30" s="49" customFormat="1" x14ac:dyDescent="0.35">
      <c r="AD106" s="81"/>
    </row>
    <row r="107" spans="30:30" s="49" customFormat="1" x14ac:dyDescent="0.35">
      <c r="AD107" s="81"/>
    </row>
    <row r="108" spans="30:30" s="49" customFormat="1" x14ac:dyDescent="0.35">
      <c r="AD108" s="81"/>
    </row>
    <row r="109" spans="30:30" s="49" customFormat="1" x14ac:dyDescent="0.35">
      <c r="AD109" s="81"/>
    </row>
    <row r="110" spans="30:30" s="49" customFormat="1" x14ac:dyDescent="0.35">
      <c r="AD110" s="81"/>
    </row>
    <row r="111" spans="30:30" s="49" customFormat="1" x14ac:dyDescent="0.35">
      <c r="AD111" s="81"/>
    </row>
    <row r="112" spans="30:30" s="49" customFormat="1" x14ac:dyDescent="0.35">
      <c r="AD112" s="81"/>
    </row>
    <row r="113" spans="11:33" s="49" customFormat="1" x14ac:dyDescent="0.35">
      <c r="K113" s="44"/>
      <c r="L113" s="44"/>
      <c r="M113" s="44"/>
      <c r="N113" s="44"/>
      <c r="O113" s="44"/>
      <c r="P113" s="44"/>
      <c r="Q113" s="44"/>
      <c r="AD113" s="46"/>
      <c r="AE113" s="44"/>
      <c r="AG113" s="44"/>
    </row>
    <row r="114" spans="11:33" s="49" customFormat="1" x14ac:dyDescent="0.35">
      <c r="K114" s="44"/>
      <c r="L114" s="44"/>
      <c r="M114" s="44"/>
      <c r="N114" s="44"/>
      <c r="O114" s="44"/>
      <c r="P114" s="44"/>
      <c r="Q114" s="44"/>
      <c r="AD114" s="46"/>
      <c r="AE114" s="44"/>
      <c r="AG114" s="44"/>
    </row>
    <row r="115" spans="11:33" s="49" customFormat="1" x14ac:dyDescent="0.35">
      <c r="K115" s="44"/>
      <c r="L115" s="44"/>
      <c r="M115" s="44"/>
      <c r="N115" s="44"/>
      <c r="O115" s="44"/>
      <c r="P115" s="44"/>
      <c r="Q115" s="44"/>
      <c r="AD115" s="46"/>
      <c r="AE115" s="44"/>
      <c r="AG115" s="44"/>
    </row>
    <row r="116" spans="11:33" s="49" customFormat="1" x14ac:dyDescent="0.35">
      <c r="K116" s="44"/>
      <c r="L116" s="44"/>
      <c r="M116" s="44"/>
      <c r="N116" s="44"/>
      <c r="O116" s="44"/>
      <c r="P116" s="44"/>
      <c r="Q116" s="44"/>
      <c r="AD116" s="46"/>
      <c r="AE116" s="44"/>
      <c r="AG116" s="44"/>
    </row>
  </sheetData>
  <sheetProtection algorithmName="SHA-512" hashValue="7iGBAgobm0+NtgVSIns18F/83KiLpfOkYoWIQ9XjdTJ62lcJuar+DuJNRgwb11zZ5RT0/LXW+oX4V1VDc/OyPg==" saltValue="90vv5OJr3Mguo8ZXW7q/Mg==" spinCount="100000" sheet="1" objects="1" scenarios="1"/>
  <mergeCells count="9">
    <mergeCell ref="C9:D9"/>
    <mergeCell ref="C10:D10"/>
    <mergeCell ref="C11:D11"/>
    <mergeCell ref="AA3:AA6"/>
    <mergeCell ref="C5:D5"/>
    <mergeCell ref="C6:D6"/>
    <mergeCell ref="C7:D7"/>
    <mergeCell ref="C8:D8"/>
    <mergeCell ref="K5:L5"/>
  </mergeCells>
  <conditionalFormatting sqref="W37">
    <cfRule type="top10" dxfId="950" priority="74" rank="4"/>
  </conditionalFormatting>
  <conditionalFormatting sqref="Y37">
    <cfRule type="top10" dxfId="949" priority="73" rank="4"/>
  </conditionalFormatting>
  <conditionalFormatting sqref="AA37">
    <cfRule type="top10" dxfId="948" priority="72" rank="4"/>
  </conditionalFormatting>
  <conditionalFormatting sqref="Y13 AA13">
    <cfRule type="top10" dxfId="947" priority="70" percent="1" bottom="1" rank="10"/>
    <cfRule type="top10" dxfId="946" priority="71" percent="1" rank="10"/>
  </conditionalFormatting>
  <conditionalFormatting sqref="Y14 AA14 AA16:AA22 Y16:Y22">
    <cfRule type="top10" dxfId="945" priority="68" percent="1" bottom="1" rank="10"/>
    <cfRule type="top10" dxfId="944" priority="69" percent="1" rank="10"/>
  </conditionalFormatting>
  <conditionalFormatting sqref="Y26:Y27 AA26:AA27">
    <cfRule type="top10" dxfId="943" priority="66" percent="1" bottom="1" rank="10"/>
    <cfRule type="top10" dxfId="942" priority="67" percent="1" rank="10"/>
  </conditionalFormatting>
  <conditionalFormatting sqref="Y31 AA31">
    <cfRule type="top10" dxfId="941" priority="64" percent="1" bottom="1" rank="10"/>
    <cfRule type="top10" dxfId="940" priority="65" percent="1" rank="10"/>
  </conditionalFormatting>
  <conditionalFormatting sqref="Y32 AA32">
    <cfRule type="top10" dxfId="939" priority="62" percent="1" bottom="1" rank="10"/>
    <cfRule type="top10" dxfId="938" priority="63" percent="1" rank="10"/>
  </conditionalFormatting>
  <conditionalFormatting sqref="Y33 AA33">
    <cfRule type="top10" dxfId="937" priority="60" percent="1" bottom="1" rank="10"/>
    <cfRule type="top10" dxfId="936" priority="61" percent="1" rank="10"/>
  </conditionalFormatting>
  <conditionalFormatting sqref="Y34 AA34">
    <cfRule type="top10" dxfId="935" priority="58" percent="1" bottom="1" rank="10"/>
    <cfRule type="top10" dxfId="934" priority="59" percent="1" rank="10"/>
  </conditionalFormatting>
  <conditionalFormatting sqref="Y35:Y36 AA35:AA36">
    <cfRule type="top10" dxfId="933" priority="56" percent="1" bottom="1" rank="10"/>
    <cfRule type="top10" dxfId="932" priority="57" percent="1" rank="10"/>
  </conditionalFormatting>
  <conditionalFormatting sqref="X13:X22 X26:X27 X31:X36">
    <cfRule type="dataBar" priority="55">
      <dataBar>
        <cfvo type="min"/>
        <cfvo type="max"/>
        <color rgb="FF638EC6"/>
      </dataBar>
      <extLst>
        <ext xmlns:x14="http://schemas.microsoft.com/office/spreadsheetml/2009/9/main" uri="{B025F937-C7B1-47D3-B67F-A62EFF666E3E}">
          <x14:id>{1CD6BA27-6EF5-46BC-BC9A-2C1EAFC54118}</x14:id>
        </ext>
      </extLst>
    </cfRule>
  </conditionalFormatting>
  <conditionalFormatting sqref="Z13:Z22 Z26:Z27 Z31:Z36">
    <cfRule type="dataBar" priority="54">
      <dataBar>
        <cfvo type="min"/>
        <cfvo type="max"/>
        <color rgb="FF638EC6"/>
      </dataBar>
      <extLst>
        <ext xmlns:x14="http://schemas.microsoft.com/office/spreadsheetml/2009/9/main" uri="{B025F937-C7B1-47D3-B67F-A62EFF666E3E}">
          <x14:id>{F638322F-DA5F-43E8-94AA-E05604FD082F}</x14:id>
        </ext>
      </extLst>
    </cfRule>
  </conditionalFormatting>
  <conditionalFormatting sqref="AE12">
    <cfRule type="containsText" dxfId="931" priority="53" operator="containsText" text="suurem">
      <formula>NOT(ISERROR(SEARCH("suurem",AE12)))</formula>
    </cfRule>
  </conditionalFormatting>
  <conditionalFormatting sqref="AE13:AE39">
    <cfRule type="containsText" dxfId="930" priority="52" operator="containsText" text="suurem">
      <formula>NOT(ISERROR(SEARCH("suurem",AE13)))</formula>
    </cfRule>
  </conditionalFormatting>
  <conditionalFormatting sqref="AE12:AE39">
    <cfRule type="containsText" dxfId="929" priority="51" operator="containsText" text="pienempi">
      <formula>NOT(ISERROR(SEARCH("pienempi",AE12)))</formula>
    </cfRule>
  </conditionalFormatting>
  <conditionalFormatting sqref="H5:H11">
    <cfRule type="dataBar" priority="46">
      <dataBar>
        <cfvo type="min"/>
        <cfvo type="max"/>
        <color rgb="FF63C384"/>
      </dataBar>
      <extLst>
        <ext xmlns:x14="http://schemas.microsoft.com/office/spreadsheetml/2009/9/main" uri="{B025F937-C7B1-47D3-B67F-A62EFF666E3E}">
          <x14:id>{4A8993C8-FF4D-46F4-B2DE-41BDD7B2B6BB}</x14:id>
        </ext>
      </extLst>
    </cfRule>
  </conditionalFormatting>
  <conditionalFormatting sqref="V13:V22 V26:V27 V31:V36">
    <cfRule type="dataBar" priority="44">
      <dataBar>
        <cfvo type="min"/>
        <cfvo type="max"/>
        <color rgb="FF638EC6"/>
      </dataBar>
      <extLst>
        <ext xmlns:x14="http://schemas.microsoft.com/office/spreadsheetml/2009/9/main" uri="{B025F937-C7B1-47D3-B67F-A62EFF666E3E}">
          <x14:id>{8F60A9D5-615A-48C3-BB4D-A41B5724DC24}</x14:id>
        </ext>
      </extLst>
    </cfRule>
  </conditionalFormatting>
  <conditionalFormatting sqref="AE21">
    <cfRule type="containsText" dxfId="928" priority="41" operator="containsText" text="suurem">
      <formula>NOT(ISERROR(SEARCH("suurem",AE21)))</formula>
    </cfRule>
  </conditionalFormatting>
  <conditionalFormatting sqref="AE12:AE38">
    <cfRule type="containsText" dxfId="927" priority="40" operator="containsText" text="pienemmät">
      <formula>NOT(ISERROR(SEARCH("pienemmät",AE12)))</formula>
    </cfRule>
  </conditionalFormatting>
  <conditionalFormatting sqref="AE32">
    <cfRule type="containsText" dxfId="926" priority="39" operator="containsText" text="suurem">
      <formula>NOT(ISERROR(SEARCH("suurem",AE32)))</formula>
    </cfRule>
  </conditionalFormatting>
  <conditionalFormatting sqref="AE31">
    <cfRule type="containsText" dxfId="925" priority="38" operator="containsText" text="suurem">
      <formula>NOT(ISERROR(SEARCH("suurem",AE31)))</formula>
    </cfRule>
  </conditionalFormatting>
  <conditionalFormatting sqref="A5:R5 A1:XFD2 A4:XFD4 A3 U3:XFD3 T5:XFD5 A8:T8 V8:XFD8 A6:XFD7 A13:L13 N13:V21 V14:V22 A37:XFD1048576 A22:V29 A12:V12 X12:XFD36 J3 A15:L21 A14 J14:L14 R3:S3 A11:XFD11 A10:J10 R10:XFD10 A9:XFD9 A33:V36 A30:J32 M30:V32">
    <cfRule type="cellIs" dxfId="924" priority="37" operator="lessThan">
      <formula>0</formula>
    </cfRule>
  </conditionalFormatting>
  <conditionalFormatting sqref="M13:M21">
    <cfRule type="cellIs" dxfId="923" priority="36" operator="lessThan">
      <formula>0</formula>
    </cfRule>
  </conditionalFormatting>
  <conditionalFormatting sqref="W13:W22">
    <cfRule type="top10" dxfId="922" priority="34" percent="1" bottom="1" rank="10"/>
    <cfRule type="top10" dxfId="921" priority="35" percent="1" rank="10"/>
  </conditionalFormatting>
  <conditionalFormatting sqref="W14 W16:W22">
    <cfRule type="top10" dxfId="920" priority="32" percent="1" bottom="1" rank="10"/>
    <cfRule type="top10" dxfId="919" priority="33" percent="1" rank="10"/>
  </conditionalFormatting>
  <conditionalFormatting sqref="W26:W27">
    <cfRule type="top10" dxfId="918" priority="30" percent="1" bottom="1" rank="10"/>
    <cfRule type="top10" dxfId="917" priority="31" percent="1" rank="10"/>
  </conditionalFormatting>
  <conditionalFormatting sqref="W31">
    <cfRule type="top10" dxfId="916" priority="28" percent="1" bottom="1" rank="10"/>
    <cfRule type="top10" dxfId="915" priority="29" percent="1" rank="10"/>
  </conditionalFormatting>
  <conditionalFormatting sqref="W32">
    <cfRule type="top10" dxfId="914" priority="26" percent="1" bottom="1" rank="10"/>
    <cfRule type="top10" dxfId="913" priority="27" percent="1" rank="10"/>
  </conditionalFormatting>
  <conditionalFormatting sqref="W33">
    <cfRule type="top10" dxfId="912" priority="24" percent="1" bottom="1" rank="10"/>
    <cfRule type="top10" dxfId="911" priority="25" percent="1" rank="10"/>
  </conditionalFormatting>
  <conditionalFormatting sqref="W34">
    <cfRule type="top10" dxfId="910" priority="22" percent="1" bottom="1" rank="10"/>
    <cfRule type="top10" dxfId="909" priority="23" percent="1" rank="10"/>
  </conditionalFormatting>
  <conditionalFormatting sqref="W35:W36">
    <cfRule type="top10" dxfId="908" priority="20" percent="1" bottom="1" rank="10"/>
    <cfRule type="top10" dxfId="907" priority="21" percent="1" rank="10"/>
  </conditionalFormatting>
  <conditionalFormatting sqref="W13:W24 W31:W36 W26:W29">
    <cfRule type="cellIs" dxfId="906" priority="19" operator="lessThan">
      <formula>0</formula>
    </cfRule>
  </conditionalFormatting>
  <conditionalFormatting sqref="W26:W27">
    <cfRule type="top10" dxfId="905" priority="17" percent="1" bottom="1" rank="10"/>
    <cfRule type="top10" dxfId="904" priority="18" percent="1" rank="10"/>
  </conditionalFormatting>
  <conditionalFormatting sqref="W26:W27">
    <cfRule type="top10" dxfId="903" priority="15" percent="1" bottom="1" rank="10"/>
    <cfRule type="top10" dxfId="902" priority="16" percent="1" rank="10"/>
  </conditionalFormatting>
  <conditionalFormatting sqref="W31:W36">
    <cfRule type="top10" dxfId="901" priority="13" percent="1" bottom="1" rank="10"/>
    <cfRule type="top10" dxfId="900" priority="14" percent="1" rank="10"/>
  </conditionalFormatting>
  <conditionalFormatting sqref="W31:W36">
    <cfRule type="top10" dxfId="899" priority="11" percent="1" bottom="1" rank="10"/>
    <cfRule type="top10" dxfId="898" priority="12" percent="1" rank="10"/>
  </conditionalFormatting>
  <conditionalFormatting sqref="W30">
    <cfRule type="cellIs" dxfId="897" priority="10" operator="lessThan">
      <formula>0</formula>
    </cfRule>
  </conditionalFormatting>
  <conditionalFormatting sqref="W25">
    <cfRule type="cellIs" dxfId="896" priority="9" operator="lessThan">
      <formula>0</formula>
    </cfRule>
  </conditionalFormatting>
  <conditionalFormatting sqref="W12">
    <cfRule type="cellIs" dxfId="895" priority="8" operator="lessThan">
      <formula>0</formula>
    </cfRule>
  </conditionalFormatting>
  <conditionalFormatting sqref="B3:I3">
    <cfRule type="cellIs" dxfId="894" priority="7" operator="lessThan">
      <formula>0</formula>
    </cfRule>
  </conditionalFormatting>
  <conditionalFormatting sqref="B14:H14">
    <cfRule type="cellIs" dxfId="893" priority="6" operator="lessThan">
      <formula>0</formula>
    </cfRule>
  </conditionalFormatting>
  <conditionalFormatting sqref="I14">
    <cfRule type="cellIs" dxfId="892" priority="5" operator="lessThan">
      <formula>0</formula>
    </cfRule>
  </conditionalFormatting>
  <conditionalFormatting sqref="L3:Q3">
    <cfRule type="cellIs" dxfId="891" priority="4" operator="lessThan">
      <formula>0</formula>
    </cfRule>
  </conditionalFormatting>
  <conditionalFormatting sqref="K3">
    <cfRule type="cellIs" dxfId="890" priority="3" operator="lessThan">
      <formula>0</formula>
    </cfRule>
  </conditionalFormatting>
  <conditionalFormatting sqref="K10:Q10">
    <cfRule type="cellIs" dxfId="889" priority="2" operator="lessThan">
      <formula>0</formula>
    </cfRule>
  </conditionalFormatting>
  <conditionalFormatting sqref="K30:L32">
    <cfRule type="cellIs" dxfId="888" priority="1" operator="lessThan">
      <formula>0</formula>
    </cfRule>
  </conditionalFormatting>
  <pageMargins left="0.7" right="0.7" top="0.75" bottom="0.75" header="0.3" footer="0.3"/>
  <pageSetup paperSize="9" orientation="portrait" horizontalDpi="300" verticalDpi="300" r:id="rId1"/>
  <drawing r:id="rId2"/>
  <legacyDrawing r:id="rId3"/>
  <extLst>
    <ext xmlns:x14="http://schemas.microsoft.com/office/spreadsheetml/2009/9/main" uri="{78C0D931-6437-407d-A8EE-F0AAD7539E65}">
      <x14:conditionalFormattings>
        <x14:conditionalFormatting xmlns:xm="http://schemas.microsoft.com/office/excel/2006/main">
          <x14:cfRule type="dataBar" id="{1CD6BA27-6EF5-46BC-BC9A-2C1EAFC54118}">
            <x14:dataBar minLength="0" maxLength="100" border="1" negativeBarBorderColorSameAsPositive="0">
              <x14:cfvo type="autoMin"/>
              <x14:cfvo type="autoMax"/>
              <x14:borderColor rgb="FF638EC6"/>
              <x14:negativeFillColor rgb="FFFF0000"/>
              <x14:negativeBorderColor rgb="FFFF0000"/>
              <x14:axisColor rgb="FF000000"/>
            </x14:dataBar>
          </x14:cfRule>
          <xm:sqref>X13:X22 X26:X27 X31:X36</xm:sqref>
        </x14:conditionalFormatting>
        <x14:conditionalFormatting xmlns:xm="http://schemas.microsoft.com/office/excel/2006/main">
          <x14:cfRule type="dataBar" id="{F638322F-DA5F-43E8-94AA-E05604FD082F}">
            <x14:dataBar minLength="0" maxLength="100" border="1" negativeBarBorderColorSameAsPositive="0">
              <x14:cfvo type="autoMin"/>
              <x14:cfvo type="autoMax"/>
              <x14:borderColor rgb="FF638EC6"/>
              <x14:negativeFillColor rgb="FFFF0000"/>
              <x14:negativeBorderColor rgb="FFFF0000"/>
              <x14:axisColor rgb="FF000000"/>
            </x14:dataBar>
          </x14:cfRule>
          <xm:sqref>Z13:Z22 Z26:Z27 Z31:Z36</xm:sqref>
        </x14:conditionalFormatting>
        <x14:conditionalFormatting xmlns:xm="http://schemas.microsoft.com/office/excel/2006/main">
          <x14:cfRule type="dataBar" id="{4A8993C8-FF4D-46F4-B2DE-41BDD7B2B6BB}">
            <x14:dataBar minLength="0" maxLength="100" border="1" negativeBarBorderColorSameAsPositive="0">
              <x14:cfvo type="autoMin"/>
              <x14:cfvo type="autoMax"/>
              <x14:borderColor rgb="FF63C384"/>
              <x14:negativeFillColor rgb="FFFF0000"/>
              <x14:negativeBorderColor rgb="FFFF0000"/>
              <x14:axisColor rgb="FF000000"/>
            </x14:dataBar>
          </x14:cfRule>
          <xm:sqref>H5:H11</xm:sqref>
        </x14:conditionalFormatting>
        <x14:conditionalFormatting xmlns:xm="http://schemas.microsoft.com/office/excel/2006/main">
          <x14:cfRule type="dataBar" id="{8F60A9D5-615A-48C3-BB4D-A41B5724DC24}">
            <x14:dataBar minLength="0" maxLength="100" border="1" negativeBarBorderColorSameAsPositive="0">
              <x14:cfvo type="autoMin"/>
              <x14:cfvo type="autoMax"/>
              <x14:borderColor rgb="FF638EC6"/>
              <x14:negativeFillColor rgb="FFFF0000"/>
              <x14:negativeBorderColor rgb="FFFF0000"/>
              <x14:axisColor rgb="FF000000"/>
            </x14:dataBar>
          </x14:cfRule>
          <xm:sqref>V13:V22 V26:V27 V31:V36</xm:sqref>
        </x14:conditionalFormatting>
      </x14:conditionalFormatting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CCFF"/>
  </sheetPr>
  <dimension ref="A1:BG124"/>
  <sheetViews>
    <sheetView zoomScale="70" zoomScaleNormal="70" workbookViewId="0">
      <pane ySplit="1" topLeftCell="A8" activePane="bottomLeft" state="frozen"/>
      <selection activeCell="E1" sqref="E1"/>
      <selection pane="bottomLeft" activeCell="E1" sqref="E1"/>
    </sheetView>
  </sheetViews>
  <sheetFormatPr defaultColWidth="9.1796875" defaultRowHeight="14.5" x14ac:dyDescent="0.35"/>
  <cols>
    <col min="1" max="1" width="2.6328125" style="49" customWidth="1"/>
    <col min="2" max="2" width="2.6328125" style="44" customWidth="1"/>
    <col min="3" max="8" width="10.6328125" style="44" customWidth="1"/>
    <col min="9" max="9" width="12.6328125" style="44" customWidth="1"/>
    <col min="10" max="10" width="2.6328125" style="49" customWidth="1"/>
    <col min="11" max="11" width="17.6328125" style="44" customWidth="1"/>
    <col min="12" max="12" width="11.6328125" style="44" customWidth="1"/>
    <col min="13" max="13" width="10.6328125" style="44" customWidth="1"/>
    <col min="14" max="14" width="8.6328125" style="44" customWidth="1"/>
    <col min="15" max="15" width="11.6328125" style="44" customWidth="1"/>
    <col min="16" max="17" width="10.6328125" style="44" customWidth="1"/>
    <col min="18" max="18" width="2.6328125" style="49" customWidth="1"/>
    <col min="19" max="19" width="2.6328125" style="44" customWidth="1"/>
    <col min="20" max="20" width="14.6328125" style="44" customWidth="1"/>
    <col min="21" max="21" width="8.6328125" style="44" customWidth="1"/>
    <col min="22" max="27" width="10.6328125" style="44" customWidth="1"/>
    <col min="28" max="28" width="2.6328125" style="49" customWidth="1"/>
    <col min="29" max="32" width="10.6328125" style="424" hidden="1" customWidth="1"/>
    <col min="33" max="35" width="10.6328125" style="564" hidden="1" customWidth="1"/>
    <col min="36" max="36" width="2.6328125" style="49" customWidth="1"/>
    <col min="37" max="37" width="29.453125" style="46" customWidth="1"/>
    <col min="38" max="38" width="36.6328125" style="44" bestFit="1" customWidth="1"/>
    <col min="39" max="39" width="2.6328125" style="49" customWidth="1"/>
    <col min="40" max="40" width="72" style="44" customWidth="1"/>
    <col min="41" max="49" width="10.6328125" style="49" customWidth="1"/>
    <col min="50" max="59" width="9.1796875" style="49"/>
    <col min="60" max="16384" width="9.1796875" style="44"/>
  </cols>
  <sheetData>
    <row r="1" spans="1:59" s="410" customFormat="1" ht="27" customHeight="1" x14ac:dyDescent="0.35">
      <c r="A1" s="408"/>
      <c r="B1" s="408"/>
      <c r="C1" s="408"/>
      <c r="D1" s="409"/>
      <c r="E1" s="409" t="s">
        <v>271</v>
      </c>
      <c r="F1" s="408"/>
      <c r="G1" s="408"/>
      <c r="H1" s="408"/>
      <c r="I1" s="408"/>
      <c r="J1" s="408"/>
      <c r="K1" s="408" t="str">
        <f>CONCATENATE(Etusivu!$F$10,," ",Etusivu!$G$10,", ",Etusivu!$F$7," ",Etusivu!$G$7)</f>
        <v>Laskelman laatija: Lappari-elinkeino -hanke, Laskelmavuosi: 2021</v>
      </c>
      <c r="L1" s="408"/>
      <c r="M1" s="408"/>
      <c r="N1" s="408"/>
      <c r="O1" s="408"/>
      <c r="P1" s="408"/>
      <c r="Q1" s="411"/>
      <c r="R1" s="408"/>
      <c r="S1" s="408"/>
      <c r="T1" s="408"/>
      <c r="U1" s="408"/>
      <c r="V1" s="408"/>
      <c r="W1" s="408"/>
      <c r="X1" s="408"/>
      <c r="Y1" s="408"/>
      <c r="Z1" s="408"/>
      <c r="AA1" s="408"/>
      <c r="AB1" s="408"/>
      <c r="AC1" s="558"/>
      <c r="AD1" s="558"/>
      <c r="AE1" s="558"/>
      <c r="AF1" s="558"/>
      <c r="AG1" s="563"/>
      <c r="AH1" s="563"/>
      <c r="AI1" s="563"/>
      <c r="AJ1" s="408"/>
      <c r="AK1" s="408"/>
      <c r="AL1" s="408"/>
      <c r="AM1" s="408"/>
      <c r="AN1" s="408"/>
      <c r="AO1" s="408"/>
      <c r="AP1" s="408"/>
      <c r="AQ1" s="408"/>
      <c r="AR1" s="408"/>
      <c r="AS1" s="408"/>
      <c r="AT1" s="408"/>
      <c r="AU1" s="408"/>
      <c r="AV1" s="408"/>
      <c r="AW1" s="408"/>
      <c r="AX1" s="408"/>
      <c r="AY1" s="408"/>
      <c r="AZ1" s="408"/>
      <c r="BA1" s="408"/>
      <c r="BB1" s="408"/>
      <c r="BC1" s="408"/>
      <c r="BD1" s="408"/>
      <c r="BE1" s="408"/>
      <c r="BF1" s="408"/>
      <c r="BG1" s="408"/>
    </row>
    <row r="2" spans="1:59" s="2" customFormat="1" ht="14.25" customHeight="1" x14ac:dyDescent="0.35">
      <c r="A2" s="3"/>
      <c r="B2" s="4"/>
      <c r="C2" s="1"/>
      <c r="D2" s="1"/>
      <c r="E2" s="1"/>
      <c r="F2" s="1"/>
      <c r="G2" s="1"/>
      <c r="H2" s="1"/>
      <c r="I2" s="1"/>
      <c r="J2" s="1"/>
      <c r="K2" s="216"/>
      <c r="L2" s="1"/>
      <c r="M2" s="1"/>
      <c r="N2" s="1"/>
      <c r="O2" s="1"/>
      <c r="P2" s="1"/>
      <c r="Q2" s="1"/>
      <c r="R2" s="1"/>
      <c r="S2" s="1"/>
      <c r="T2" s="1"/>
      <c r="U2" s="1"/>
      <c r="V2" s="1"/>
      <c r="W2" s="1"/>
      <c r="X2" s="1"/>
      <c r="Y2" s="1"/>
      <c r="Z2" s="1"/>
      <c r="AA2" s="1"/>
      <c r="AB2" s="1"/>
      <c r="AC2" s="559"/>
      <c r="AD2" s="559"/>
      <c r="AE2" s="559"/>
      <c r="AF2" s="559"/>
      <c r="AG2" s="564"/>
      <c r="AH2" s="564"/>
      <c r="AI2" s="564"/>
      <c r="AJ2" s="1"/>
      <c r="AK2" s="1"/>
      <c r="AL2" s="1"/>
      <c r="AM2" s="1"/>
      <c r="AN2" s="1"/>
      <c r="AO2" s="1"/>
      <c r="AP2" s="1"/>
      <c r="AQ2" s="1"/>
      <c r="AR2" s="1"/>
      <c r="AS2" s="1"/>
      <c r="AT2" s="1"/>
      <c r="AU2" s="1"/>
      <c r="AV2" s="1"/>
      <c r="AW2" s="1"/>
      <c r="AX2" s="1"/>
      <c r="AY2" s="1"/>
      <c r="AZ2" s="1"/>
      <c r="BA2" s="1"/>
      <c r="BB2" s="1"/>
      <c r="BC2" s="1"/>
      <c r="BD2" s="1"/>
      <c r="BE2" s="1"/>
      <c r="BF2" s="1"/>
      <c r="BG2" s="1"/>
    </row>
    <row r="3" spans="1:59" ht="20" customHeight="1" thickBot="1" x14ac:dyDescent="0.5">
      <c r="B3" s="575" t="s">
        <v>0</v>
      </c>
      <c r="C3" s="575"/>
      <c r="D3" s="575"/>
      <c r="E3" s="575"/>
      <c r="F3" s="575"/>
      <c r="G3" s="575"/>
      <c r="H3" s="575"/>
      <c r="I3" s="575"/>
      <c r="K3" s="575" t="s">
        <v>475</v>
      </c>
      <c r="L3" s="576"/>
      <c r="M3" s="576"/>
      <c r="N3" s="576"/>
      <c r="O3" s="577" t="s">
        <v>530</v>
      </c>
      <c r="P3" s="578">
        <f>IF(E5=0,"Tarkista",E5)</f>
        <v>20</v>
      </c>
      <c r="Q3" s="579" t="s">
        <v>79</v>
      </c>
      <c r="S3" s="39"/>
      <c r="U3" s="39"/>
      <c r="V3" s="39"/>
      <c r="W3" s="39"/>
      <c r="X3" s="39"/>
      <c r="Y3" s="39"/>
      <c r="Z3" s="39"/>
      <c r="AA3" s="876"/>
      <c r="AK3" s="43"/>
      <c r="AL3" s="43"/>
      <c r="AN3" s="43"/>
    </row>
    <row r="4" spans="1:59" ht="22.5" thickTop="1" x14ac:dyDescent="0.35">
      <c r="B4" s="39"/>
      <c r="C4" s="39"/>
      <c r="D4" s="39"/>
      <c r="E4" s="50" t="s">
        <v>84</v>
      </c>
      <c r="F4" s="50" t="s">
        <v>418</v>
      </c>
      <c r="G4" s="50" t="s">
        <v>1</v>
      </c>
      <c r="H4" s="50" t="s">
        <v>406</v>
      </c>
      <c r="I4" s="50" t="s">
        <v>2</v>
      </c>
      <c r="K4" s="51" t="s">
        <v>77</v>
      </c>
      <c r="L4" s="294" t="s">
        <v>281</v>
      </c>
      <c r="M4" s="663" t="s">
        <v>490</v>
      </c>
      <c r="N4" s="401" t="s">
        <v>491</v>
      </c>
      <c r="O4" s="402" t="s">
        <v>534</v>
      </c>
      <c r="P4" s="184" t="s">
        <v>532</v>
      </c>
      <c r="Q4" s="184"/>
      <c r="S4" s="677" t="s">
        <v>663</v>
      </c>
      <c r="T4" s="678"/>
      <c r="U4" s="679"/>
      <c r="V4" s="39"/>
      <c r="W4" s="39"/>
      <c r="X4" s="39"/>
      <c r="Y4" s="39"/>
      <c r="Z4" s="39"/>
      <c r="AA4" s="876"/>
    </row>
    <row r="5" spans="1:59" ht="15" customHeight="1" x14ac:dyDescent="0.35">
      <c r="B5" s="9">
        <v>1</v>
      </c>
      <c r="C5" s="874" t="s">
        <v>770</v>
      </c>
      <c r="D5" s="875"/>
      <c r="E5" s="215">
        <f>'Rehun käyttö, nettosato'!E5</f>
        <v>20</v>
      </c>
      <c r="F5" s="36">
        <f>'Rehun käyttö, nettosato'!F5</f>
        <v>6000</v>
      </c>
      <c r="G5" s="36">
        <f t="shared" ref="G5:G10" si="0">E5*F5</f>
        <v>120000</v>
      </c>
      <c r="H5" s="53">
        <f>IF(E5=0,0,Energiantarve!O11)</f>
        <v>56407.14263249292</v>
      </c>
      <c r="I5" s="53">
        <f>Energiantarve!P11</f>
        <v>1128142.8526498585</v>
      </c>
      <c r="K5" s="407" t="s">
        <v>530</v>
      </c>
      <c r="L5" s="418">
        <f>Lähtötiedot!L8</f>
        <v>57600</v>
      </c>
      <c r="M5" s="36">
        <f>G5</f>
        <v>120000</v>
      </c>
      <c r="N5" s="124">
        <f>IF(M5=0,0,L5/M5)</f>
        <v>0.48</v>
      </c>
      <c r="O5" s="269">
        <f>IF(P$3="Tarkista",0,M5*N5/P$3)</f>
        <v>2880</v>
      </c>
      <c r="P5" s="184" t="s">
        <v>78</v>
      </c>
      <c r="Q5" s="220">
        <f>O5</f>
        <v>2880</v>
      </c>
      <c r="S5" s="680"/>
      <c r="T5" s="671">
        <f>V42</f>
        <v>62.39644334460732</v>
      </c>
      <c r="U5" s="681" t="s">
        <v>39</v>
      </c>
      <c r="V5" s="39"/>
      <c r="W5" s="39"/>
      <c r="X5" s="39"/>
      <c r="Y5" s="39"/>
      <c r="Z5" s="39"/>
      <c r="AA5" s="876"/>
    </row>
    <row r="6" spans="1:59" x14ac:dyDescent="0.35">
      <c r="B6" s="9">
        <v>2</v>
      </c>
      <c r="C6" s="874" t="s">
        <v>771</v>
      </c>
      <c r="D6" s="875"/>
      <c r="E6" s="215">
        <f>'Rehun käyttö, nettosato'!E6</f>
        <v>4</v>
      </c>
      <c r="F6" s="36">
        <f>'Rehun käyttö, nettosato'!F6</f>
        <v>1</v>
      </c>
      <c r="G6" s="36">
        <f t="shared" si="0"/>
        <v>4</v>
      </c>
      <c r="H6" s="53">
        <f>IF(E6=0,0,Energiantarve!O17/(Energiantarve!I14/365))</f>
        <v>27081.950718685832</v>
      </c>
      <c r="I6" s="53">
        <f>Energiantarve!P17</f>
        <v>216804</v>
      </c>
      <c r="K6" s="300" t="s">
        <v>579</v>
      </c>
      <c r="L6" s="418">
        <f>Lähtötiedot!P8</f>
        <v>16440</v>
      </c>
      <c r="M6" s="36">
        <f>M5</f>
        <v>120000</v>
      </c>
      <c r="N6" s="124">
        <f>IF(M6=0,0,L6/M6)</f>
        <v>0.13700000000000001</v>
      </c>
      <c r="O6" s="269">
        <f>IF(P$3="Tarkista",0,M6*N6/P$3)</f>
        <v>822</v>
      </c>
      <c r="P6" s="184" t="s">
        <v>579</v>
      </c>
      <c r="Q6" s="220">
        <f>O6</f>
        <v>822</v>
      </c>
      <c r="S6" s="682" t="s">
        <v>665</v>
      </c>
      <c r="T6" s="672"/>
      <c r="U6" s="683"/>
      <c r="V6" s="39"/>
      <c r="W6" s="39"/>
      <c r="X6" s="39"/>
      <c r="Y6" s="39"/>
      <c r="Z6" s="39"/>
      <c r="AA6" s="876"/>
    </row>
    <row r="7" spans="1:59" ht="15.75" customHeight="1" x14ac:dyDescent="0.35">
      <c r="B7" s="9">
        <v>3</v>
      </c>
      <c r="C7" s="874" t="s">
        <v>3</v>
      </c>
      <c r="D7" s="875"/>
      <c r="E7" s="215">
        <f>'Rehun käyttö, nettosato'!E7</f>
        <v>0</v>
      </c>
      <c r="F7" s="727">
        <f>'Rehun käyttö, nettosato'!F7</f>
        <v>0</v>
      </c>
      <c r="G7" s="36">
        <f t="shared" si="0"/>
        <v>0</v>
      </c>
      <c r="H7" s="53">
        <f>IF(E7=0,0,Energiantarve!O23)</f>
        <v>0</v>
      </c>
      <c r="I7" s="53">
        <f>Energiantarve!P23</f>
        <v>0</v>
      </c>
      <c r="K7" s="301" t="s">
        <v>492</v>
      </c>
      <c r="L7" s="24">
        <f>Lähtötiedot!Q15</f>
        <v>3360</v>
      </c>
      <c r="M7" s="304"/>
      <c r="N7" s="302"/>
      <c r="O7" s="269">
        <f>IF(P$3="Tarkista",0,L7/P$3)</f>
        <v>168</v>
      </c>
      <c r="P7" s="184" t="s">
        <v>489</v>
      </c>
      <c r="Q7" s="220">
        <f>O7</f>
        <v>168</v>
      </c>
      <c r="S7" s="682" t="s">
        <v>664</v>
      </c>
      <c r="T7" s="672"/>
      <c r="U7" s="683"/>
      <c r="V7" s="39"/>
      <c r="W7" s="39"/>
      <c r="X7" s="39"/>
      <c r="Y7" s="39"/>
      <c r="Z7" s="39"/>
      <c r="AA7" s="39"/>
    </row>
    <row r="8" spans="1:59" ht="15.75" customHeight="1" thickBot="1" x14ac:dyDescent="0.4">
      <c r="B8" s="9">
        <v>4</v>
      </c>
      <c r="C8" s="874" t="s">
        <v>771</v>
      </c>
      <c r="D8" s="875"/>
      <c r="E8" s="215">
        <f>'Rehun käyttö, nettosato'!E8</f>
        <v>0</v>
      </c>
      <c r="F8" s="36">
        <f>'Rehun käyttö, nettosato'!F8</f>
        <v>1</v>
      </c>
      <c r="G8" s="36">
        <f t="shared" si="0"/>
        <v>0</v>
      </c>
      <c r="H8" s="53">
        <f>IF(E8=0,0,Energiantarve!O29/(Energiantarve!I26/365))</f>
        <v>0</v>
      </c>
      <c r="I8" s="53">
        <f>Energiantarve!P29</f>
        <v>0</v>
      </c>
      <c r="K8" s="301" t="s">
        <v>580</v>
      </c>
      <c r="L8" s="35"/>
      <c r="M8" s="305"/>
      <c r="N8" s="303"/>
      <c r="O8" s="269">
        <f>IF(P$3="Tarkista",0,L8/P$3)</f>
        <v>0</v>
      </c>
      <c r="P8" s="184" t="s">
        <v>580</v>
      </c>
      <c r="Q8" s="220">
        <f>O8</f>
        <v>0</v>
      </c>
      <c r="S8" s="682"/>
      <c r="T8" s="673">
        <f>V44</f>
        <v>58.312849086833047</v>
      </c>
      <c r="U8" s="684" t="s">
        <v>39</v>
      </c>
      <c r="V8" s="39"/>
      <c r="W8" s="39"/>
      <c r="X8" s="39"/>
      <c r="Y8" s="39"/>
      <c r="Z8" s="39"/>
      <c r="AA8" s="39"/>
    </row>
    <row r="9" spans="1:59" ht="15" thickBot="1" x14ac:dyDescent="0.4">
      <c r="B9" s="9">
        <v>5</v>
      </c>
      <c r="C9" s="874" t="s">
        <v>4</v>
      </c>
      <c r="D9" s="875"/>
      <c r="E9" s="215">
        <f>'Rehun käyttö, nettosato'!E9</f>
        <v>8</v>
      </c>
      <c r="F9" s="36">
        <f>'Rehun käyttö, nettosato'!F9</f>
        <v>244</v>
      </c>
      <c r="G9" s="36">
        <f t="shared" si="0"/>
        <v>1952</v>
      </c>
      <c r="H9" s="53">
        <f>IF(E9=0,0,Energiantarve!O35/(Energiantarve!K32/365))</f>
        <v>34461.840000000004</v>
      </c>
      <c r="I9" s="53">
        <f>Energiantarve!P35</f>
        <v>498516.48000000004</v>
      </c>
      <c r="K9" s="77" t="s">
        <v>81</v>
      </c>
      <c r="L9" s="39"/>
      <c r="M9" s="37"/>
      <c r="N9" s="39"/>
      <c r="O9" s="271">
        <f>SUM(O5:O8)</f>
        <v>3870</v>
      </c>
      <c r="P9" s="257"/>
      <c r="Q9" s="257"/>
      <c r="S9" s="685" t="s">
        <v>682</v>
      </c>
      <c r="T9" s="674"/>
      <c r="U9" s="686"/>
      <c r="V9" s="39"/>
      <c r="W9" s="39"/>
      <c r="X9" s="39"/>
      <c r="Y9" s="39"/>
      <c r="Z9" s="39"/>
      <c r="AA9" s="39"/>
      <c r="AK9" s="56"/>
      <c r="AL9" s="39"/>
      <c r="AN9" s="39"/>
    </row>
    <row r="10" spans="1:59" ht="15" thickBot="1" x14ac:dyDescent="0.4">
      <c r="B10" s="9">
        <v>6</v>
      </c>
      <c r="C10" s="874" t="s">
        <v>5</v>
      </c>
      <c r="D10" s="875"/>
      <c r="E10" s="215">
        <f>'Rehun käyttö, nettosato'!E10</f>
        <v>6</v>
      </c>
      <c r="F10" s="36">
        <f>'Rehun käyttö, nettosato'!F10</f>
        <v>184</v>
      </c>
      <c r="G10" s="36">
        <f t="shared" si="0"/>
        <v>1104</v>
      </c>
      <c r="H10" s="53">
        <f>IF(E10=0,0,Energiantarve!O41/(Energiantarve!K38/365))</f>
        <v>21343.958999999995</v>
      </c>
      <c r="I10" s="728">
        <f>Energiantarve!P41</f>
        <v>263144.69999999995</v>
      </c>
      <c r="K10" s="77"/>
      <c r="L10" s="39"/>
      <c r="M10" s="39"/>
      <c r="N10" s="39"/>
      <c r="O10" s="390"/>
      <c r="P10" s="257"/>
      <c r="Q10" s="257"/>
      <c r="S10" s="687"/>
      <c r="T10" s="688">
        <f>IF(M5=0,0,(L8+L6)/M5)*100</f>
        <v>13.700000000000001</v>
      </c>
      <c r="U10" s="689" t="s">
        <v>39</v>
      </c>
      <c r="V10" s="39"/>
      <c r="W10" s="39"/>
      <c r="X10" s="39"/>
      <c r="Y10" s="39"/>
      <c r="Z10" s="39"/>
      <c r="AA10" s="39"/>
      <c r="AK10" s="56"/>
      <c r="AL10" s="39"/>
      <c r="AN10" s="39"/>
    </row>
    <row r="11" spans="1:59" ht="19.5" thickTop="1" thickBot="1" x14ac:dyDescent="0.5">
      <c r="B11" s="9">
        <v>7</v>
      </c>
      <c r="C11" s="874" t="s">
        <v>403</v>
      </c>
      <c r="D11" s="875"/>
      <c r="E11" s="215">
        <f>'Rehun käyttö, nettosato'!E11</f>
        <v>0</v>
      </c>
      <c r="F11" s="39"/>
      <c r="G11" s="39"/>
      <c r="H11" s="53">
        <f>IF(E11=0,0,Energiantarve!O47)</f>
        <v>0</v>
      </c>
      <c r="I11" s="728">
        <f>Energiantarve!P47</f>
        <v>0</v>
      </c>
      <c r="K11" s="575" t="s">
        <v>34</v>
      </c>
      <c r="L11" s="576"/>
      <c r="M11" s="576"/>
      <c r="N11" s="576"/>
      <c r="O11" s="577"/>
      <c r="P11" s="578"/>
      <c r="Q11" s="579"/>
      <c r="S11" s="569" t="s">
        <v>673</v>
      </c>
      <c r="T11" s="582"/>
      <c r="U11" s="582"/>
      <c r="V11" s="583"/>
      <c r="W11" s="582"/>
      <c r="X11" s="582"/>
      <c r="Y11" s="584"/>
      <c r="Z11" s="569"/>
      <c r="AA11" s="582"/>
      <c r="AK11" s="569" t="s">
        <v>685</v>
      </c>
      <c r="AL11" s="569"/>
      <c r="AN11" s="569" t="s">
        <v>244</v>
      </c>
    </row>
    <row r="12" spans="1:59" ht="16" thickBot="1" x14ac:dyDescent="0.4">
      <c r="B12" s="39"/>
      <c r="C12" s="39"/>
      <c r="D12" s="39"/>
      <c r="E12" s="39"/>
      <c r="F12" s="39"/>
      <c r="G12" s="39"/>
      <c r="H12" s="39"/>
      <c r="I12" s="729">
        <f>SUM(I5:I11)</f>
        <v>2106608.0326498584</v>
      </c>
      <c r="K12" s="51" t="s">
        <v>35</v>
      </c>
      <c r="L12" s="19"/>
      <c r="M12" s="21"/>
      <c r="N12" s="19"/>
      <c r="O12" s="273"/>
      <c r="P12" s="295"/>
      <c r="Q12" s="19"/>
      <c r="S12" s="39"/>
      <c r="T12" s="39"/>
      <c r="U12" s="39"/>
      <c r="V12" s="39" t="s">
        <v>40</v>
      </c>
      <c r="W12" s="39"/>
      <c r="X12" s="57" t="s">
        <v>41</v>
      </c>
      <c r="Y12" s="57"/>
      <c r="Z12" s="58" t="s">
        <v>42</v>
      </c>
      <c r="AA12" s="58"/>
      <c r="AL12" s="97"/>
      <c r="AN12" s="245"/>
    </row>
    <row r="13" spans="1:59" ht="22" x14ac:dyDescent="0.35">
      <c r="B13" s="39"/>
      <c r="C13" s="39"/>
      <c r="D13" s="39"/>
      <c r="E13" s="39"/>
      <c r="F13" s="39"/>
      <c r="G13" s="39"/>
      <c r="H13" s="39"/>
      <c r="I13" s="730"/>
      <c r="K13" s="44" t="s">
        <v>36</v>
      </c>
      <c r="L13" s="316" t="s">
        <v>37</v>
      </c>
      <c r="M13" s="122" t="s">
        <v>25</v>
      </c>
      <c r="N13" s="316" t="s">
        <v>38</v>
      </c>
      <c r="O13" s="268" t="s">
        <v>534</v>
      </c>
      <c r="P13" s="296" t="s">
        <v>505</v>
      </c>
      <c r="Q13" s="19"/>
      <c r="S13" s="39"/>
      <c r="T13" s="39"/>
      <c r="U13" s="39"/>
      <c r="V13" s="663" t="s">
        <v>39</v>
      </c>
      <c r="W13" s="50" t="s">
        <v>43</v>
      </c>
      <c r="X13" s="59" t="s">
        <v>537</v>
      </c>
      <c r="Y13" s="59" t="s">
        <v>43</v>
      </c>
      <c r="Z13" s="60" t="s">
        <v>39</v>
      </c>
      <c r="AA13" s="60" t="s">
        <v>43</v>
      </c>
      <c r="AF13" s="566">
        <v>0.2</v>
      </c>
      <c r="AG13" s="567">
        <f>1+AF13</f>
        <v>1.2</v>
      </c>
      <c r="AH13" s="567">
        <f>1-AF13</f>
        <v>0.8</v>
      </c>
      <c r="AI13" s="567">
        <v>0.3</v>
      </c>
      <c r="AK13" s="46" t="str">
        <f>V13</f>
        <v>snt/kg</v>
      </c>
      <c r="AN13" s="245"/>
    </row>
    <row r="14" spans="1:59" ht="20" customHeight="1" x14ac:dyDescent="0.45">
      <c r="B14" s="726" t="s">
        <v>460</v>
      </c>
      <c r="C14" s="574"/>
      <c r="D14" s="574"/>
      <c r="E14" s="574"/>
      <c r="F14" s="574"/>
      <c r="G14" s="574"/>
      <c r="H14" s="574"/>
      <c r="I14" s="574"/>
      <c r="K14" s="14" t="s">
        <v>476</v>
      </c>
      <c r="L14" s="36">
        <f>G17</f>
        <v>164000</v>
      </c>
      <c r="M14" s="293">
        <f>'Rehujen tuotantokustannukset'!J5</f>
        <v>0.12014544186297008</v>
      </c>
      <c r="N14" s="15">
        <f>Lähtötiedot!Q19</f>
        <v>0.63844190841619353</v>
      </c>
      <c r="O14" s="269">
        <f>IF(P$3="Tarkista",0,L14*M14*N14/P$3)</f>
        <v>628.98825856211192</v>
      </c>
      <c r="P14" s="387">
        <f>'Säilörehun tuotantokustannus'!N5</f>
        <v>0.12</v>
      </c>
      <c r="Q14" s="387">
        <f>IF(P$3="Tarkista",0,ROUNDUP((L14*P14*N14/P$3)*(1-Q43)/100,3))</f>
        <v>6.109</v>
      </c>
      <c r="S14" s="61" t="s">
        <v>35</v>
      </c>
      <c r="T14" s="39"/>
      <c r="U14" s="39"/>
      <c r="V14" s="527">
        <f>SUM(V15:V28)</f>
        <v>23.260636510470654</v>
      </c>
      <c r="W14" s="63">
        <f>IF(V$42=0,0,V14/V$42)</f>
        <v>0.37278785878876508</v>
      </c>
      <c r="X14" s="530">
        <f>SUM(X15:X28)</f>
        <v>22.566616276524648</v>
      </c>
      <c r="Y14" s="65">
        <f>IF(X$42=0,0,X14/X$42)</f>
        <v>0.57353640624011593</v>
      </c>
      <c r="Z14" s="531">
        <f>SUM(Z15:Z28)</f>
        <v>12.877100770426235</v>
      </c>
      <c r="AA14" s="67">
        <f>IF(Z$42=0,0,Z14/Z$42)</f>
        <v>0.39777402290095681</v>
      </c>
      <c r="AC14" s="561">
        <f>V14</f>
        <v>23.260636510470654</v>
      </c>
      <c r="AD14" s="561">
        <f>X14</f>
        <v>22.566616276524648</v>
      </c>
      <c r="AE14" s="561">
        <f>AC14-AD14</f>
        <v>0.69402023394600576</v>
      </c>
      <c r="AF14" s="562">
        <f>AD14/AC14</f>
        <v>0.97016331717175508</v>
      </c>
      <c r="AG14" s="564" t="str">
        <f>IF(AF14&lt;AG$13,"_","ovat pienemmät kuin vertailulaskelmassa")</f>
        <v>_</v>
      </c>
      <c r="AH14" s="564" t="str">
        <f>IF(AF14&gt;AH$13,"_","ovat suuremmat kuin vertailulaskelmassa")</f>
        <v>_</v>
      </c>
      <c r="AI14" s="564">
        <f>IF(V14&lt;AI$13,1,0)</f>
        <v>0</v>
      </c>
      <c r="AK14" s="45" t="str">
        <f>S14</f>
        <v>Muuttuvat kustannukset</v>
      </c>
      <c r="AL14" s="44" t="str">
        <f>IF(AI14=0,IF(AF14&lt;1,AH14,AG14),"_")</f>
        <v>_</v>
      </c>
      <c r="AN14" s="245"/>
    </row>
    <row r="15" spans="1:59" ht="15" customHeight="1" thickBot="1" x14ac:dyDescent="0.4">
      <c r="B15" s="39"/>
      <c r="C15" s="39"/>
      <c r="D15" s="39"/>
      <c r="E15" s="50" t="s">
        <v>6</v>
      </c>
      <c r="F15" s="731" t="s">
        <v>237</v>
      </c>
      <c r="G15" s="732" t="s">
        <v>1</v>
      </c>
      <c r="H15" s="732" t="s">
        <v>407</v>
      </c>
      <c r="I15" s="732" t="s">
        <v>7</v>
      </c>
      <c r="K15" s="14" t="s">
        <v>477</v>
      </c>
      <c r="L15" s="36">
        <f>G18</f>
        <v>0</v>
      </c>
      <c r="M15" s="293">
        <f>'Rehujen tuotantokustannukset'!J6</f>
        <v>0</v>
      </c>
      <c r="N15" s="23">
        <f>N$14</f>
        <v>0.63844190841619353</v>
      </c>
      <c r="O15" s="269">
        <f>IF(P$3="Tarkista",0,L15*M15*N15/P$3)</f>
        <v>0</v>
      </c>
      <c r="P15" s="297"/>
      <c r="Q15" s="19"/>
      <c r="S15" s="39"/>
      <c r="T15" s="68" t="str">
        <f>K14</f>
        <v xml:space="preserve">   Säilörehu</v>
      </c>
      <c r="U15" s="39"/>
      <c r="V15" s="382">
        <f>IF(P$3="Tarkista",0,O14*(1-Q$43)/(M$5/P$3)*100)</f>
        <v>10.192594257774278</v>
      </c>
      <c r="W15" s="536">
        <f>IF(V$42=0,0,V15/V$42)</f>
        <v>0.16335216739008546</v>
      </c>
      <c r="X15" s="388">
        <f>Tuotantokustannusvertailu!N54</f>
        <v>15.284210526315793</v>
      </c>
      <c r="Y15" s="538">
        <f>IF(X$42=0,0,X15/X$42)</f>
        <v>0.38845217510963576</v>
      </c>
      <c r="Z15" s="389">
        <f>Tuotantokustannusvertailu!AC54</f>
        <v>8.4155844155844157</v>
      </c>
      <c r="AA15" s="540">
        <f>IF(Z$42=0,0,Z15/Z$42)</f>
        <v>0.25995765100615947</v>
      </c>
      <c r="AC15" s="561">
        <f t="shared" ref="AC15:AC42" si="1">V15</f>
        <v>10.192594257774278</v>
      </c>
      <c r="AD15" s="561">
        <f t="shared" ref="AD15:AD42" si="2">X15</f>
        <v>15.284210526315793</v>
      </c>
      <c r="AE15" s="561">
        <f t="shared" ref="AE15:AE42" si="3">AC15-AD15</f>
        <v>-5.0916162685415145</v>
      </c>
      <c r="AF15" s="562">
        <f>AD15/AC15</f>
        <v>1.4995407586893734</v>
      </c>
      <c r="AG15" s="564" t="str">
        <f>IF(AF15&lt;AG$13,"_","on pienempi kuin vertailulaskelmissa")</f>
        <v>on pienempi kuin vertailulaskelmissa</v>
      </c>
      <c r="AH15" s="564" t="str">
        <f>IF(AF15&gt;AH$13,"_","on suurempi kuin vertailulaskelmissa")</f>
        <v>_</v>
      </c>
      <c r="AI15" s="564">
        <f t="shared" ref="AI15:AI42" si="4">IF(V15&lt;AI$13,1,0)</f>
        <v>0</v>
      </c>
      <c r="AK15" s="45" t="str">
        <f>T15</f>
        <v xml:space="preserve">   Säilörehu</v>
      </c>
      <c r="AL15" s="44" t="str">
        <f t="shared" ref="AL15:AL42" si="5">IF(AI15=0,IF(AF15&lt;1,AH15,AG15),"_")</f>
        <v>on pienempi kuin vertailulaskelmissa</v>
      </c>
      <c r="AN15" s="245"/>
    </row>
    <row r="16" spans="1:59" ht="15" customHeight="1" thickTop="1" x14ac:dyDescent="0.35">
      <c r="B16" s="77" t="s">
        <v>356</v>
      </c>
      <c r="C16" s="39"/>
      <c r="D16" s="39"/>
      <c r="E16" s="733">
        <f>SUM(E17:E21)</f>
        <v>29</v>
      </c>
      <c r="F16" s="734" t="s">
        <v>352</v>
      </c>
      <c r="G16" s="734" t="s">
        <v>44</v>
      </c>
      <c r="H16" s="734" t="s">
        <v>353</v>
      </c>
      <c r="I16" s="734" t="s">
        <v>8</v>
      </c>
      <c r="K16" s="14" t="s">
        <v>478</v>
      </c>
      <c r="L16" s="36">
        <f>G19</f>
        <v>0</v>
      </c>
      <c r="M16" s="293">
        <f>'Rehujen tuotantokustannukset'!J7</f>
        <v>0</v>
      </c>
      <c r="N16" s="23">
        <f>N$14</f>
        <v>0.63844190841619353</v>
      </c>
      <c r="O16" s="269">
        <f>IF(P$3="Tarkista",0,L16*M16*N16/P$3)</f>
        <v>0</v>
      </c>
      <c r="P16" s="297"/>
      <c r="Q16" s="19"/>
      <c r="S16" s="39"/>
      <c r="T16" s="68" t="str">
        <f>K15</f>
        <v xml:space="preserve">   Rehuvilja</v>
      </c>
      <c r="U16" s="39"/>
      <c r="V16" s="382">
        <f>IF(P$3="Tarkista",0,O15*(1-Q$43)/(M$5/P$3)*100)</f>
        <v>0</v>
      </c>
      <c r="W16" s="536">
        <f t="shared" ref="W16:W28" si="6">IF(V$42=0,0,V16/V$42)</f>
        <v>0</v>
      </c>
      <c r="X16" s="388">
        <f>Tuotantokustannusvertailu!N55</f>
        <v>1.7481637426900585</v>
      </c>
      <c r="Y16" s="538">
        <f t="shared" ref="Y16:AA28" si="7">IF(X$42=0,0,X16/X$42)</f>
        <v>4.4430034978028027E-2</v>
      </c>
      <c r="Z16" s="389">
        <f>Tuotantokustannusvertailu!AC55</f>
        <v>1.375071681565188</v>
      </c>
      <c r="AA16" s="540">
        <f t="shared" si="7"/>
        <v>4.2476004832511967E-2</v>
      </c>
      <c r="AC16" s="561">
        <f t="shared" si="1"/>
        <v>0</v>
      </c>
      <c r="AD16" s="561">
        <f t="shared" si="2"/>
        <v>1.7481637426900585</v>
      </c>
      <c r="AE16" s="561">
        <f t="shared" si="3"/>
        <v>-1.7481637426900585</v>
      </c>
      <c r="AF16" s="562" t="e">
        <f>AD16/AC16</f>
        <v>#DIV/0!</v>
      </c>
      <c r="AG16" s="564" t="e">
        <f t="shared" ref="AG16:AG24" si="8">IF(AF16&lt;AG$13,"_","on pienempi kuin vertailulaskelmissa")</f>
        <v>#DIV/0!</v>
      </c>
      <c r="AH16" s="564" t="e">
        <f t="shared" ref="AH16:AH24" si="9">IF(AF16&gt;AH$13,"_","on suurempi kuin vertailulaskelmissa")</f>
        <v>#DIV/0!</v>
      </c>
      <c r="AI16" s="564">
        <f t="shared" si="4"/>
        <v>1</v>
      </c>
      <c r="AK16" s="45" t="str">
        <f t="shared" ref="AK16:AK28" si="10">T16</f>
        <v xml:space="preserve">   Rehuvilja</v>
      </c>
      <c r="AL16" s="44" t="str">
        <f t="shared" si="5"/>
        <v>_</v>
      </c>
      <c r="AN16" s="245"/>
    </row>
    <row r="17" spans="2:40" x14ac:dyDescent="0.35">
      <c r="B17" s="243" t="s">
        <v>421</v>
      </c>
      <c r="C17" s="735" t="s">
        <v>9</v>
      </c>
      <c r="D17" s="736"/>
      <c r="E17" s="737">
        <f>'Rehun käyttö, nettosato'!E17</f>
        <v>20</v>
      </c>
      <c r="F17" s="738">
        <f>'Rehun käyttö, nettosato'!M15</f>
        <v>8200</v>
      </c>
      <c r="G17" s="739">
        <f>E17*F17</f>
        <v>164000</v>
      </c>
      <c r="H17" s="739">
        <f>F17*Rehuntuotanto!J7</f>
        <v>91282.061855670094</v>
      </c>
      <c r="I17" s="740">
        <f>H17*E17</f>
        <v>1825641.2371134018</v>
      </c>
      <c r="K17" s="14" t="s">
        <v>479</v>
      </c>
      <c r="L17" s="36">
        <f>G20</f>
        <v>10000</v>
      </c>
      <c r="M17" s="293">
        <f>'Rehujen tuotantokustannukset'!J8</f>
        <v>0.49259631163817735</v>
      </c>
      <c r="N17" s="23">
        <f>N$14</f>
        <v>0.63844190841619353</v>
      </c>
      <c r="O17" s="269">
        <f>IF(P$3="Tarkista",0,L17*M17*N17/P$3)</f>
        <v>157.24706464052798</v>
      </c>
      <c r="P17" s="297"/>
      <c r="Q17" s="19"/>
      <c r="S17" s="39"/>
      <c r="T17" s="68" t="str">
        <f>K16</f>
        <v xml:space="preserve">   Kokoviljasäilörehu</v>
      </c>
      <c r="U17" s="39"/>
      <c r="V17" s="382">
        <f>IF(P$3="Tarkista",0,O16*(1-Q$43)/(M$5/P$3)*100)</f>
        <v>0</v>
      </c>
      <c r="W17" s="536">
        <f t="shared" si="6"/>
        <v>0</v>
      </c>
      <c r="X17" s="388">
        <f>Tuotantokustannusvertailu!N56</f>
        <v>0</v>
      </c>
      <c r="Y17" s="538">
        <f t="shared" si="7"/>
        <v>0</v>
      </c>
      <c r="Z17" s="389">
        <f>Tuotantokustannusvertailu!AC56</f>
        <v>0</v>
      </c>
      <c r="AA17" s="540">
        <f t="shared" si="7"/>
        <v>0</v>
      </c>
      <c r="AC17" s="561"/>
      <c r="AD17" s="561"/>
      <c r="AE17" s="561"/>
      <c r="AF17" s="562"/>
      <c r="AG17" s="564" t="str">
        <f t="shared" si="8"/>
        <v>_</v>
      </c>
      <c r="AH17" s="564" t="str">
        <f t="shared" si="9"/>
        <v>on suurempi kuin vertailulaskelmissa</v>
      </c>
      <c r="AI17" s="564">
        <f t="shared" si="4"/>
        <v>1</v>
      </c>
      <c r="AK17" s="45" t="str">
        <f t="shared" si="10"/>
        <v xml:space="preserve">   Kokoviljasäilörehu</v>
      </c>
      <c r="AL17" s="44" t="str">
        <f t="shared" si="5"/>
        <v>_</v>
      </c>
      <c r="AN17" s="245"/>
    </row>
    <row r="18" spans="2:40" x14ac:dyDescent="0.35">
      <c r="B18" s="243" t="s">
        <v>422</v>
      </c>
      <c r="C18" s="735" t="s">
        <v>10</v>
      </c>
      <c r="D18" s="736"/>
      <c r="E18" s="737">
        <f>'Rehun käyttö, nettosato'!E18</f>
        <v>0</v>
      </c>
      <c r="F18" s="16">
        <f>Rehuntuotanto!I29</f>
        <v>0</v>
      </c>
      <c r="G18" s="36">
        <f>E18*F18</f>
        <v>0</v>
      </c>
      <c r="H18" s="36">
        <f>Rehuntuotanto!K29</f>
        <v>0</v>
      </c>
      <c r="I18" s="53">
        <f>H18*E18</f>
        <v>0</v>
      </c>
      <c r="K18" s="14" t="s">
        <v>480</v>
      </c>
      <c r="L18" s="36">
        <f>G21</f>
        <v>17200</v>
      </c>
      <c r="M18" s="293">
        <f>'Rehujen tuotantokustannukset'!J9</f>
        <v>0.22911456355264062</v>
      </c>
      <c r="N18" s="23">
        <f>N$14</f>
        <v>0.63844190841619353</v>
      </c>
      <c r="O18" s="269">
        <f>IF(P$3="Tarkista",0,L18*M18*N18/P$3)</f>
        <v>125.79765171242238</v>
      </c>
      <c r="P18" s="297"/>
      <c r="Q18" s="19"/>
      <c r="S18" s="39"/>
      <c r="T18" s="68" t="str">
        <f>K17</f>
        <v xml:space="preserve">   Laidun</v>
      </c>
      <c r="U18" s="39"/>
      <c r="V18" s="382">
        <f>IF(P$3="Tarkista",0,O17*(1-Q$43)/(M$5/P$3)*100)</f>
        <v>2.5481485644435695</v>
      </c>
      <c r="W18" s="536">
        <f t="shared" si="6"/>
        <v>4.0838041847521364E-2</v>
      </c>
      <c r="X18" s="388">
        <f>Tuotantokustannusvertailu!N57</f>
        <v>0</v>
      </c>
      <c r="Y18" s="538">
        <f t="shared" si="7"/>
        <v>0</v>
      </c>
      <c r="Z18" s="389">
        <f>Tuotantokustannusvertailu!AC57</f>
        <v>0</v>
      </c>
      <c r="AA18" s="540">
        <f t="shared" si="7"/>
        <v>0</v>
      </c>
      <c r="AC18" s="561"/>
      <c r="AD18" s="561"/>
      <c r="AE18" s="561"/>
      <c r="AF18" s="562"/>
      <c r="AG18" s="564" t="str">
        <f t="shared" si="8"/>
        <v>_</v>
      </c>
      <c r="AH18" s="564" t="str">
        <f t="shared" si="9"/>
        <v>on suurempi kuin vertailulaskelmissa</v>
      </c>
      <c r="AI18" s="564">
        <f t="shared" si="4"/>
        <v>0</v>
      </c>
      <c r="AK18" s="45" t="str">
        <f t="shared" si="10"/>
        <v xml:space="preserve">   Laidun</v>
      </c>
      <c r="AL18" s="44" t="str">
        <f t="shared" si="5"/>
        <v>on suurempi kuin vertailulaskelmissa</v>
      </c>
      <c r="AN18" s="245"/>
    </row>
    <row r="19" spans="2:40" ht="15" customHeight="1" x14ac:dyDescent="0.35">
      <c r="B19" s="243" t="s">
        <v>423</v>
      </c>
      <c r="C19" s="735" t="s">
        <v>48</v>
      </c>
      <c r="D19" s="736"/>
      <c r="E19" s="737">
        <f>'Rehun käyttö, nettosato'!E19</f>
        <v>0</v>
      </c>
      <c r="F19" s="16">
        <f>Rehuntuotanto!I36</f>
        <v>0</v>
      </c>
      <c r="G19" s="36">
        <f>E19*F19</f>
        <v>0</v>
      </c>
      <c r="H19" s="36">
        <f>Rehuntuotanto!K36</f>
        <v>0</v>
      </c>
      <c r="I19" s="53">
        <f>H19*E19</f>
        <v>0</v>
      </c>
      <c r="K19" s="39"/>
      <c r="L19" s="39"/>
      <c r="M19" s="663" t="s">
        <v>75</v>
      </c>
      <c r="N19" s="316" t="s">
        <v>38</v>
      </c>
      <c r="O19" s="268" t="s">
        <v>534</v>
      </c>
      <c r="P19" s="297"/>
      <c r="Q19" s="19"/>
      <c r="S19" s="39"/>
      <c r="T19" s="68" t="str">
        <f>K18</f>
        <v xml:space="preserve">   Muut korsirehut</v>
      </c>
      <c r="U19" s="39"/>
      <c r="V19" s="382">
        <f>IF(P$3="Tarkista",0,O18*(1-Q$43)/(M$5/P$3)*100)</f>
        <v>2.0385188515548553</v>
      </c>
      <c r="W19" s="536">
        <f t="shared" si="6"/>
        <v>3.2670433478017083E-2</v>
      </c>
      <c r="X19" s="388">
        <f>Tuotantokustannusvertailu!N58</f>
        <v>0</v>
      </c>
      <c r="Y19" s="538">
        <f t="shared" si="7"/>
        <v>0</v>
      </c>
      <c r="Z19" s="389">
        <f>Tuotantokustannusvertailu!AC58</f>
        <v>0</v>
      </c>
      <c r="AA19" s="540">
        <f t="shared" si="7"/>
        <v>0</v>
      </c>
      <c r="AC19" s="561"/>
      <c r="AD19" s="561"/>
      <c r="AE19" s="561"/>
      <c r="AF19" s="562"/>
      <c r="AG19" s="564" t="str">
        <f t="shared" si="8"/>
        <v>_</v>
      </c>
      <c r="AH19" s="564" t="str">
        <f t="shared" si="9"/>
        <v>on suurempi kuin vertailulaskelmissa</v>
      </c>
      <c r="AI19" s="564">
        <f t="shared" si="4"/>
        <v>0</v>
      </c>
      <c r="AK19" s="45" t="str">
        <f t="shared" si="10"/>
        <v xml:space="preserve">   Muut korsirehut</v>
      </c>
      <c r="AL19" s="44" t="str">
        <f t="shared" si="5"/>
        <v>on suurempi kuin vertailulaskelmissa</v>
      </c>
      <c r="AN19" s="245"/>
    </row>
    <row r="20" spans="2:40" x14ac:dyDescent="0.35">
      <c r="B20" s="243" t="s">
        <v>424</v>
      </c>
      <c r="C20" s="735" t="s">
        <v>46</v>
      </c>
      <c r="D20" s="736"/>
      <c r="E20" s="737">
        <f>'Rehun käyttö, nettosato'!E20</f>
        <v>5</v>
      </c>
      <c r="F20" s="16">
        <f>Rehuntuotanto!I43</f>
        <v>2000</v>
      </c>
      <c r="G20" s="36">
        <f>E20*F20</f>
        <v>10000</v>
      </c>
      <c r="H20" s="36">
        <f>Rehuntuotanto!K43</f>
        <v>22000</v>
      </c>
      <c r="I20" s="53">
        <f>H20*E20</f>
        <v>110000</v>
      </c>
      <c r="K20" s="666" t="s">
        <v>47</v>
      </c>
      <c r="L20" s="667"/>
      <c r="M20" s="36">
        <f>Lähtötiedot!C19</f>
        <v>2000</v>
      </c>
      <c r="N20" s="23">
        <f t="shared" ref="N20:N26" si="11">N$14</f>
        <v>0.63844190841619353</v>
      </c>
      <c r="O20" s="269">
        <f t="shared" ref="O20:O26" si="12">IF(P$3="Tarkista",0,M20*N20/P$3)</f>
        <v>63.844190841619351</v>
      </c>
      <c r="P20" s="297"/>
      <c r="Q20" s="19"/>
      <c r="S20" s="39"/>
      <c r="T20" s="68" t="str">
        <f t="shared" ref="T20:T28" si="13">K20</f>
        <v>Ostorehut</v>
      </c>
      <c r="U20" s="39"/>
      <c r="V20" s="382">
        <f>IF(P$3="Tarkista",0,O20*(1-Q$43)/(M$5/P$3)*100)</f>
        <v>1.0345788241773273</v>
      </c>
      <c r="W20" s="536">
        <f t="shared" si="6"/>
        <v>1.6580733912404028E-2</v>
      </c>
      <c r="X20" s="388">
        <f>Tuotantokustannusvertailu!N59</f>
        <v>3.5380116959064329</v>
      </c>
      <c r="Y20" s="538">
        <f t="shared" si="7"/>
        <v>8.9919484979082337E-2</v>
      </c>
      <c r="Z20" s="389">
        <f>Tuotantokustannusvertailu!AC59</f>
        <v>1.5179625569235957</v>
      </c>
      <c r="AA20" s="540">
        <f t="shared" si="7"/>
        <v>4.68899081901442E-2</v>
      </c>
      <c r="AC20" s="561">
        <f t="shared" si="1"/>
        <v>1.0345788241773273</v>
      </c>
      <c r="AD20" s="561">
        <f t="shared" si="2"/>
        <v>3.5380116959064329</v>
      </c>
      <c r="AE20" s="561">
        <f t="shared" si="3"/>
        <v>-2.5034328717291059</v>
      </c>
      <c r="AF20" s="562">
        <f t="shared" ref="AF20:AF28" si="14">AD20/AC20</f>
        <v>3.4197604022291648</v>
      </c>
      <c r="AG20" s="564" t="str">
        <f t="shared" si="8"/>
        <v>on pienempi kuin vertailulaskelmissa</v>
      </c>
      <c r="AH20" s="564" t="str">
        <f t="shared" si="9"/>
        <v>_</v>
      </c>
      <c r="AI20" s="564">
        <f t="shared" si="4"/>
        <v>0</v>
      </c>
      <c r="AK20" s="45" t="str">
        <f t="shared" si="10"/>
        <v>Ostorehut</v>
      </c>
      <c r="AL20" s="44" t="str">
        <f t="shared" si="5"/>
        <v>on pienempi kuin vertailulaskelmissa</v>
      </c>
      <c r="AN20" s="245"/>
    </row>
    <row r="21" spans="2:40" ht="15" thickBot="1" x14ac:dyDescent="0.4">
      <c r="B21" s="243" t="s">
        <v>425</v>
      </c>
      <c r="C21" s="735" t="s">
        <v>348</v>
      </c>
      <c r="D21" s="736"/>
      <c r="E21" s="741">
        <f>'Rehun käyttö, nettosato'!E21</f>
        <v>4</v>
      </c>
      <c r="F21" s="16">
        <f>Rehuntuotanto!I50</f>
        <v>4300</v>
      </c>
      <c r="G21" s="36">
        <f>E21*F21</f>
        <v>17200</v>
      </c>
      <c r="H21" s="36">
        <f>Rehuntuotanto!K50</f>
        <v>45150</v>
      </c>
      <c r="I21" s="53">
        <f>H21*E21</f>
        <v>180600</v>
      </c>
      <c r="K21" s="877" t="s">
        <v>72</v>
      </c>
      <c r="L21" s="878"/>
      <c r="M21" s="36">
        <f>Lähtötiedot!C20</f>
        <v>600</v>
      </c>
      <c r="N21" s="23">
        <f t="shared" si="11"/>
        <v>0.63844190841619353</v>
      </c>
      <c r="O21" s="269">
        <f t="shared" si="12"/>
        <v>19.153257252485808</v>
      </c>
      <c r="P21" s="297"/>
      <c r="Q21" s="19"/>
      <c r="S21" s="39"/>
      <c r="T21" s="68" t="str">
        <f t="shared" si="13"/>
        <v>Kivennäiset</v>
      </c>
      <c r="U21" s="39"/>
      <c r="V21" s="382">
        <f t="shared" ref="V21:V28" si="15">IF(P$3="Tarkista",0,O21*(1-Q$43)/(M$5/P$3)*100)</f>
        <v>0.31037364725319827</v>
      </c>
      <c r="W21" s="536">
        <f t="shared" si="6"/>
        <v>4.9742201737212098E-3</v>
      </c>
      <c r="X21" s="388">
        <f>Tuotantokustannusvertailu!N60</f>
        <v>0.24926900584795325</v>
      </c>
      <c r="Y21" s="538">
        <f t="shared" si="7"/>
        <v>6.3352364417080748E-3</v>
      </c>
      <c r="Z21" s="389">
        <f>Tuotantokustannusvertailu!AC60</f>
        <v>0.19607016360263116</v>
      </c>
      <c r="AA21" s="540">
        <f t="shared" si="7"/>
        <v>6.0566131412269613E-3</v>
      </c>
      <c r="AC21" s="561">
        <f t="shared" si="1"/>
        <v>0.31037364725319827</v>
      </c>
      <c r="AD21" s="561">
        <f t="shared" si="2"/>
        <v>0.24926900584795325</v>
      </c>
      <c r="AE21" s="561">
        <f t="shared" si="3"/>
        <v>6.1104641405245019E-2</v>
      </c>
      <c r="AF21" s="562">
        <f t="shared" si="14"/>
        <v>0.8031255490083643</v>
      </c>
      <c r="AG21" s="564" t="str">
        <f t="shared" si="8"/>
        <v>_</v>
      </c>
      <c r="AH21" s="564" t="str">
        <f t="shared" si="9"/>
        <v>_</v>
      </c>
      <c r="AI21" s="564">
        <f t="shared" si="4"/>
        <v>0</v>
      </c>
      <c r="AK21" s="45" t="str">
        <f t="shared" si="10"/>
        <v>Kivennäiset</v>
      </c>
      <c r="AL21" s="44" t="str">
        <f t="shared" si="5"/>
        <v>_</v>
      </c>
      <c r="AN21" s="245"/>
    </row>
    <row r="22" spans="2:40" ht="15.5" thickTop="1" thickBot="1" x14ac:dyDescent="0.4">
      <c r="B22" s="39" t="s">
        <v>14</v>
      </c>
      <c r="C22" s="39"/>
      <c r="D22" s="39"/>
      <c r="E22" s="742">
        <f>'Rehun käyttö, nettosato'!E22</f>
        <v>0</v>
      </c>
      <c r="F22" s="39"/>
      <c r="G22" s="743"/>
      <c r="H22" s="39"/>
      <c r="I22" s="39"/>
      <c r="K22" s="877" t="s">
        <v>481</v>
      </c>
      <c r="L22" s="878"/>
      <c r="M22" s="36">
        <f>Lähtötiedot!C21</f>
        <v>1500</v>
      </c>
      <c r="N22" s="23">
        <f t="shared" si="11"/>
        <v>0.63844190841619353</v>
      </c>
      <c r="O22" s="269">
        <f t="shared" si="12"/>
        <v>47.88314313121451</v>
      </c>
      <c r="P22" s="297"/>
      <c r="Q22" s="19"/>
      <c r="S22" s="39"/>
      <c r="T22" s="68" t="str">
        <f t="shared" si="13"/>
        <v>Lääkintä</v>
      </c>
      <c r="U22" s="39"/>
      <c r="V22" s="382">
        <f t="shared" si="15"/>
        <v>0.77593411813299551</v>
      </c>
      <c r="W22" s="536">
        <f t="shared" si="6"/>
        <v>1.2435550434303022E-2</v>
      </c>
      <c r="X22" s="388">
        <f>Tuotantokustannusvertailu!N61</f>
        <v>0.64327485380116967</v>
      </c>
      <c r="Y22" s="538">
        <f t="shared" si="7"/>
        <v>1.6348997268924064E-2</v>
      </c>
      <c r="Z22" s="389">
        <f>Tuotantokustannusvertailu!AC61</f>
        <v>0.50598751897453198</v>
      </c>
      <c r="AA22" s="540">
        <f t="shared" si="7"/>
        <v>1.5629969396714738E-2</v>
      </c>
      <c r="AC22" s="561">
        <f t="shared" si="1"/>
        <v>0.77593411813299551</v>
      </c>
      <c r="AD22" s="561">
        <f t="shared" si="2"/>
        <v>0.64327485380116967</v>
      </c>
      <c r="AE22" s="561">
        <f t="shared" si="3"/>
        <v>0.13265926433182584</v>
      </c>
      <c r="AF22" s="562">
        <f t="shared" si="14"/>
        <v>0.8290328247828278</v>
      </c>
      <c r="AG22" s="564" t="str">
        <f t="shared" si="8"/>
        <v>_</v>
      </c>
      <c r="AH22" s="564" t="str">
        <f t="shared" si="9"/>
        <v>_</v>
      </c>
      <c r="AI22" s="564">
        <f t="shared" si="4"/>
        <v>0</v>
      </c>
      <c r="AK22" s="45" t="str">
        <f t="shared" si="10"/>
        <v>Lääkintä</v>
      </c>
      <c r="AL22" s="44" t="str">
        <f t="shared" si="5"/>
        <v>_</v>
      </c>
      <c r="AN22" s="245"/>
    </row>
    <row r="23" spans="2:40" ht="15" thickBot="1" x14ac:dyDescent="0.4">
      <c r="B23" s="39" t="s">
        <v>16</v>
      </c>
      <c r="C23" s="39"/>
      <c r="D23" s="39"/>
      <c r="E23" s="428">
        <f>E22+E16</f>
        <v>29</v>
      </c>
      <c r="F23" s="39"/>
      <c r="G23" s="39"/>
      <c r="H23" s="39"/>
      <c r="I23" s="39"/>
      <c r="K23" s="877" t="s">
        <v>482</v>
      </c>
      <c r="L23" s="878"/>
      <c r="M23" s="36">
        <f>Lähtötiedot!C22</f>
        <v>2500</v>
      </c>
      <c r="N23" s="23">
        <f t="shared" si="11"/>
        <v>0.63844190841619353</v>
      </c>
      <c r="O23" s="269">
        <f t="shared" si="12"/>
        <v>79.805238552024193</v>
      </c>
      <c r="P23" s="297"/>
      <c r="Q23" s="19"/>
      <c r="S23" s="39"/>
      <c r="T23" s="68" t="str">
        <f t="shared" si="13"/>
        <v>Siemennys, jalostus ym.</v>
      </c>
      <c r="U23" s="39"/>
      <c r="V23" s="382">
        <f t="shared" si="15"/>
        <v>1.2932235302216593</v>
      </c>
      <c r="W23" s="536">
        <f t="shared" si="6"/>
        <v>2.0725917390505038E-2</v>
      </c>
      <c r="X23" s="388">
        <f>Tuotantokustannusvertailu!N62</f>
        <v>0.27339181286549707</v>
      </c>
      <c r="Y23" s="538">
        <f t="shared" si="7"/>
        <v>6.9483238392927258E-3</v>
      </c>
      <c r="Z23" s="389">
        <f>Tuotantokustannusvertailu!AC62</f>
        <v>0.2150446955641761</v>
      </c>
      <c r="AA23" s="540">
        <f t="shared" si="7"/>
        <v>6.6427369936037633E-3</v>
      </c>
      <c r="AC23" s="561">
        <f t="shared" si="1"/>
        <v>1.2932235302216593</v>
      </c>
      <c r="AD23" s="561">
        <f t="shared" si="2"/>
        <v>0.27339181286549707</v>
      </c>
      <c r="AE23" s="561">
        <f t="shared" si="3"/>
        <v>1.0198317173561622</v>
      </c>
      <c r="AF23" s="562">
        <f t="shared" si="14"/>
        <v>0.21140337031962106</v>
      </c>
      <c r="AG23" s="564" t="str">
        <f t="shared" si="8"/>
        <v>_</v>
      </c>
      <c r="AH23" s="564" t="str">
        <f t="shared" si="9"/>
        <v>on suurempi kuin vertailulaskelmissa</v>
      </c>
      <c r="AI23" s="564">
        <f t="shared" si="4"/>
        <v>0</v>
      </c>
      <c r="AK23" s="45" t="str">
        <f t="shared" si="10"/>
        <v>Siemennys, jalostus ym.</v>
      </c>
      <c r="AL23" s="44" t="str">
        <f t="shared" si="5"/>
        <v>on suurempi kuin vertailulaskelmissa</v>
      </c>
      <c r="AN23" s="245"/>
    </row>
    <row r="24" spans="2:40" x14ac:dyDescent="0.35">
      <c r="B24" s="39"/>
      <c r="C24" s="39"/>
      <c r="D24" s="39"/>
      <c r="E24" s="39"/>
      <c r="F24" s="39"/>
      <c r="G24" s="39"/>
      <c r="H24" s="39"/>
      <c r="I24" s="39"/>
      <c r="K24" s="877" t="s">
        <v>49</v>
      </c>
      <c r="L24" s="878"/>
      <c r="M24" s="36">
        <f>Lähtötiedot!C23</f>
        <v>1500</v>
      </c>
      <c r="N24" s="23">
        <f t="shared" si="11"/>
        <v>0.63844190841619353</v>
      </c>
      <c r="O24" s="269">
        <f t="shared" si="12"/>
        <v>47.88314313121451</v>
      </c>
      <c r="P24" s="297"/>
      <c r="Q24" s="19"/>
      <c r="S24" s="39"/>
      <c r="T24" s="68" t="str">
        <f t="shared" si="13"/>
        <v>Kuivikkeet</v>
      </c>
      <c r="U24" s="39"/>
      <c r="V24" s="382">
        <f t="shared" si="15"/>
        <v>0.77593411813299551</v>
      </c>
      <c r="W24" s="536">
        <f t="shared" si="6"/>
        <v>1.2435550434303022E-2</v>
      </c>
      <c r="X24" s="388">
        <f>Tuotantokustannusvertailu!N63</f>
        <v>0.32163742690058483</v>
      </c>
      <c r="Y24" s="538">
        <f t="shared" si="7"/>
        <v>8.1744986344620321E-3</v>
      </c>
      <c r="Z24" s="389">
        <f>Tuotantokustannusvertailu!AC63</f>
        <v>0.25299375948726599</v>
      </c>
      <c r="AA24" s="540">
        <f t="shared" si="7"/>
        <v>7.814984698357369E-3</v>
      </c>
      <c r="AC24" s="561">
        <f t="shared" si="1"/>
        <v>0.77593411813299551</v>
      </c>
      <c r="AD24" s="561">
        <f t="shared" si="2"/>
        <v>0.32163742690058483</v>
      </c>
      <c r="AE24" s="561">
        <f t="shared" si="3"/>
        <v>0.45429669123241068</v>
      </c>
      <c r="AF24" s="562">
        <f t="shared" si="14"/>
        <v>0.4145164123914139</v>
      </c>
      <c r="AG24" s="564" t="str">
        <f t="shared" si="8"/>
        <v>_</v>
      </c>
      <c r="AH24" s="564" t="str">
        <f t="shared" si="9"/>
        <v>on suurempi kuin vertailulaskelmissa</v>
      </c>
      <c r="AI24" s="564">
        <f t="shared" si="4"/>
        <v>0</v>
      </c>
      <c r="AK24" s="45" t="str">
        <f t="shared" si="10"/>
        <v>Kuivikkeet</v>
      </c>
      <c r="AL24" s="44" t="str">
        <f t="shared" si="5"/>
        <v>on suurempi kuin vertailulaskelmissa</v>
      </c>
      <c r="AN24" s="245"/>
    </row>
    <row r="25" spans="2:40" x14ac:dyDescent="0.35">
      <c r="B25" s="39"/>
      <c r="C25" s="39"/>
      <c r="D25" s="39"/>
      <c r="E25" s="39"/>
      <c r="F25" s="39"/>
      <c r="G25" s="39"/>
      <c r="H25" s="39"/>
      <c r="I25" s="39"/>
      <c r="K25" s="879" t="s">
        <v>50</v>
      </c>
      <c r="L25" s="875"/>
      <c r="M25" s="36">
        <f>Lähtötiedot!C24</f>
        <v>3500</v>
      </c>
      <c r="N25" s="23">
        <f t="shared" si="11"/>
        <v>0.63844190841619353</v>
      </c>
      <c r="O25" s="269">
        <f t="shared" si="12"/>
        <v>111.72733397283386</v>
      </c>
      <c r="P25" s="297"/>
      <c r="Q25" s="19"/>
      <c r="S25" s="39"/>
      <c r="T25" s="282" t="str">
        <f t="shared" si="13"/>
        <v>Muut muuttuvat kustannukset</v>
      </c>
      <c r="U25" s="39"/>
      <c r="V25" s="382">
        <f t="shared" si="15"/>
        <v>1.8105129423103228</v>
      </c>
      <c r="W25" s="536">
        <f t="shared" si="6"/>
        <v>2.9016284346707052E-2</v>
      </c>
      <c r="X25" s="388">
        <f>Tuotantokustannusvertailu!N64</f>
        <v>0.16081871345029242</v>
      </c>
      <c r="Y25" s="538">
        <f t="shared" si="7"/>
        <v>4.087249317231016E-3</v>
      </c>
      <c r="Z25" s="389">
        <f>Tuotantokustannusvertailu!AC64</f>
        <v>0.126496879743633</v>
      </c>
      <c r="AA25" s="540">
        <f t="shared" si="7"/>
        <v>3.9074923491786845E-3</v>
      </c>
      <c r="AC25" s="561">
        <f t="shared" si="1"/>
        <v>1.8105129423103228</v>
      </c>
      <c r="AD25" s="561">
        <f t="shared" si="2"/>
        <v>0.16081871345029242</v>
      </c>
      <c r="AE25" s="561">
        <f t="shared" si="3"/>
        <v>1.6496942288600303</v>
      </c>
      <c r="AF25" s="562">
        <f t="shared" si="14"/>
        <v>8.8824945512445838E-2</v>
      </c>
      <c r="AG25" s="564" t="str">
        <f>IF(AF25&lt;AG$13,"_","ovat pienemmät kuin vertailulaskelmassa")</f>
        <v>_</v>
      </c>
      <c r="AH25" s="564" t="str">
        <f>IF(AF25&gt;AH$13,"_","ovat suuremmat kuin vertailulaskelmassa")</f>
        <v>ovat suuremmat kuin vertailulaskelmassa</v>
      </c>
      <c r="AI25" s="564">
        <f t="shared" si="4"/>
        <v>0</v>
      </c>
      <c r="AK25" s="45" t="str">
        <f t="shared" si="10"/>
        <v>Muut muuttuvat kustannukset</v>
      </c>
      <c r="AL25" s="44" t="str">
        <f t="shared" si="5"/>
        <v>ovat suuremmat kuin vertailulaskelmassa</v>
      </c>
      <c r="AN25" s="245"/>
    </row>
    <row r="26" spans="2:40" x14ac:dyDescent="0.35">
      <c r="B26" s="77" t="s">
        <v>47</v>
      </c>
      <c r="C26" s="39"/>
      <c r="D26" s="39"/>
      <c r="E26" s="50" t="s">
        <v>358</v>
      </c>
      <c r="F26" s="50" t="s">
        <v>20</v>
      </c>
      <c r="G26" s="50" t="s">
        <v>21</v>
      </c>
      <c r="H26" s="50" t="s">
        <v>44</v>
      </c>
      <c r="I26" s="75" t="s">
        <v>22</v>
      </c>
      <c r="K26" s="877" t="s">
        <v>51</v>
      </c>
      <c r="L26" s="878"/>
      <c r="M26" s="36">
        <f>Lähtötiedot!C25</f>
        <v>0</v>
      </c>
      <c r="N26" s="23">
        <f t="shared" si="11"/>
        <v>0.63844190841619353</v>
      </c>
      <c r="O26" s="269">
        <f t="shared" si="12"/>
        <v>0</v>
      </c>
      <c r="P26" s="297"/>
      <c r="Q26" s="19"/>
      <c r="S26" s="39"/>
      <c r="T26" s="68" t="str">
        <f t="shared" si="13"/>
        <v>Eläinten ostot</v>
      </c>
      <c r="U26" s="39"/>
      <c r="V26" s="382">
        <f t="shared" si="15"/>
        <v>0</v>
      </c>
      <c r="W26" s="536">
        <f t="shared" si="6"/>
        <v>0</v>
      </c>
      <c r="X26" s="388">
        <f>Tuotantokustannusvertailu!N65</f>
        <v>0.32163742690058483</v>
      </c>
      <c r="Y26" s="538">
        <f t="shared" si="7"/>
        <v>8.1744986344620321E-3</v>
      </c>
      <c r="Z26" s="389">
        <f>Tuotantokustannusvertailu!AC65</f>
        <v>0.25299375948726599</v>
      </c>
      <c r="AA26" s="540">
        <f t="shared" si="7"/>
        <v>7.814984698357369E-3</v>
      </c>
      <c r="AC26" s="561">
        <f t="shared" si="1"/>
        <v>0</v>
      </c>
      <c r="AD26" s="561">
        <f t="shared" si="2"/>
        <v>0.32163742690058483</v>
      </c>
      <c r="AE26" s="561">
        <f t="shared" si="3"/>
        <v>-0.32163742690058483</v>
      </c>
      <c r="AF26" s="562" t="e">
        <f t="shared" si="14"/>
        <v>#DIV/0!</v>
      </c>
      <c r="AG26" s="564" t="e">
        <f>IF(AF26&lt;AG$13,"_","ovat pienemmät kuin vertailulaskelmassa")</f>
        <v>#DIV/0!</v>
      </c>
      <c r="AH26" s="564" t="e">
        <f>IF(AF26&gt;AH$13,"_","ovat suuremmat kuin vertailulaskelmassa")</f>
        <v>#DIV/0!</v>
      </c>
      <c r="AI26" s="564">
        <f t="shared" si="4"/>
        <v>1</v>
      </c>
      <c r="AK26" s="45" t="str">
        <f t="shared" si="10"/>
        <v>Eläinten ostot</v>
      </c>
      <c r="AL26" s="44" t="str">
        <f t="shared" si="5"/>
        <v>_</v>
      </c>
      <c r="AN26" s="245"/>
    </row>
    <row r="27" spans="2:40" x14ac:dyDescent="0.35">
      <c r="B27" s="77"/>
      <c r="C27" s="744" t="s">
        <v>357</v>
      </c>
      <c r="D27" s="77"/>
      <c r="E27" s="36">
        <f>'Rehun käyttö, nettosato'!E26</f>
        <v>0</v>
      </c>
      <c r="F27" s="36">
        <f>'Rehun käyttö, nettosato'!F26</f>
        <v>2000</v>
      </c>
      <c r="G27" s="745">
        <f>IF(E27=0,0,F27/E27)</f>
        <v>0</v>
      </c>
      <c r="H27" s="53">
        <f>'Rehun käyttö, nettosato'!H26</f>
        <v>0</v>
      </c>
      <c r="I27" s="53">
        <f>'Rehun käyttö, nettosato'!I26</f>
        <v>0</v>
      </c>
      <c r="K27" s="291" t="s">
        <v>52</v>
      </c>
      <c r="L27" s="36">
        <f>Q27+O26</f>
        <v>1400</v>
      </c>
      <c r="M27" s="36">
        <f>L27*Q39</f>
        <v>70</v>
      </c>
      <c r="N27" s="22">
        <v>1</v>
      </c>
      <c r="O27" s="269">
        <f>IF(P$3="Tarkista",0,M27)</f>
        <v>70</v>
      </c>
      <c r="P27" s="297"/>
      <c r="Q27" s="24">
        <v>1400</v>
      </c>
      <c r="S27" s="39"/>
      <c r="T27" s="68" t="str">
        <f t="shared" si="13"/>
        <v>Eläinpääoman korko</v>
      </c>
      <c r="U27" s="55"/>
      <c r="V27" s="382">
        <f t="shared" si="15"/>
        <v>1.1343321410724616</v>
      </c>
      <c r="W27" s="536">
        <f t="shared" si="6"/>
        <v>1.8179435882389881E-2</v>
      </c>
      <c r="X27" s="388">
        <f>Tuotantokustannusvertailu!N66</f>
        <v>1.6081871345029239E-2</v>
      </c>
      <c r="Y27" s="538">
        <f t="shared" si="7"/>
        <v>4.0872493172310152E-4</v>
      </c>
      <c r="Z27" s="389">
        <f>Tuotantokustannusvertailu!AC66</f>
        <v>1.2649687974363302E-2</v>
      </c>
      <c r="AA27" s="540">
        <f t="shared" si="7"/>
        <v>3.9074923491786849E-4</v>
      </c>
      <c r="AC27" s="561">
        <f t="shared" si="1"/>
        <v>1.1343321410724616</v>
      </c>
      <c r="AD27" s="561">
        <f t="shared" si="2"/>
        <v>1.6081871345029239E-2</v>
      </c>
      <c r="AE27" s="561">
        <f t="shared" si="3"/>
        <v>1.1182502697274324</v>
      </c>
      <c r="AF27" s="562">
        <f t="shared" si="14"/>
        <v>1.4177391931982577E-2</v>
      </c>
      <c r="AG27" s="564" t="str">
        <f>IF(AF27&lt;AG$13,"_","on pienempi kuin vertailulaskelmissa")</f>
        <v>_</v>
      </c>
      <c r="AH27" s="564" t="str">
        <f>IF(AF27&gt;AH$13,"_","on suurempi kuin vertailulaskelmissa")</f>
        <v>on suurempi kuin vertailulaskelmissa</v>
      </c>
      <c r="AI27" s="564">
        <f t="shared" si="4"/>
        <v>0</v>
      </c>
      <c r="AK27" s="45" t="str">
        <f t="shared" si="10"/>
        <v>Eläinpääoman korko</v>
      </c>
      <c r="AL27" s="44" t="str">
        <f t="shared" si="5"/>
        <v>on suurempi kuin vertailulaskelmissa</v>
      </c>
      <c r="AN27" s="245"/>
    </row>
    <row r="28" spans="2:40" x14ac:dyDescent="0.35">
      <c r="B28" s="77"/>
      <c r="C28" s="744" t="s">
        <v>360</v>
      </c>
      <c r="D28" s="39"/>
      <c r="E28" s="36">
        <f>'Rehun käyttö, nettosato'!E27</f>
        <v>0</v>
      </c>
      <c r="F28" s="36">
        <f>'Rehun käyttö, nettosato'!F27</f>
        <v>0</v>
      </c>
      <c r="G28" s="745">
        <f>IF(E28=0,0,F28/E28)</f>
        <v>0</v>
      </c>
      <c r="H28" s="53">
        <f>'Rehun käyttö, nettosato'!H27</f>
        <v>0</v>
      </c>
      <c r="I28" s="53">
        <f>'Rehun käyttö, nettosato'!I27</f>
        <v>0</v>
      </c>
      <c r="K28" s="291" t="s">
        <v>53</v>
      </c>
      <c r="L28" s="36">
        <f>SUM(O12:O18,O21:O25,O31:O32)*Q28</f>
        <v>1661.8410545729009</v>
      </c>
      <c r="M28" s="36">
        <f>L28*Q39</f>
        <v>83.092052728645058</v>
      </c>
      <c r="N28" s="22">
        <v>1</v>
      </c>
      <c r="O28" s="269">
        <f>IF(P$3="Tarkista",0,M28)</f>
        <v>83.092052728645058</v>
      </c>
      <c r="P28" s="297"/>
      <c r="Q28" s="23">
        <v>0.6</v>
      </c>
      <c r="S28" s="39"/>
      <c r="T28" s="68" t="str">
        <f t="shared" si="13"/>
        <v>Liikepääoman korko</v>
      </c>
      <c r="U28" s="73"/>
      <c r="V28" s="382">
        <f t="shared" si="15"/>
        <v>1.3464855153969975</v>
      </c>
      <c r="W28" s="536">
        <f t="shared" si="6"/>
        <v>2.1579523498808029E-2</v>
      </c>
      <c r="X28" s="388">
        <f>Tuotantokustannusvertailu!N67</f>
        <v>1.0119200501253133E-2</v>
      </c>
      <c r="Y28" s="538">
        <f t="shared" si="7"/>
        <v>2.571821055666791E-4</v>
      </c>
      <c r="Z28" s="389">
        <f>Tuotantokustannusvertailu!AC67</f>
        <v>6.2456515191672878E-3</v>
      </c>
      <c r="AA28" s="540">
        <f t="shared" si="7"/>
        <v>1.9292835978439049E-4</v>
      </c>
      <c r="AC28" s="561">
        <f t="shared" si="1"/>
        <v>1.3464855153969975</v>
      </c>
      <c r="AD28" s="561">
        <f t="shared" si="2"/>
        <v>1.0119200501253133E-2</v>
      </c>
      <c r="AE28" s="561">
        <f t="shared" si="3"/>
        <v>1.3363663148957443</v>
      </c>
      <c r="AF28" s="562">
        <f t="shared" si="14"/>
        <v>7.5152687389062559E-3</v>
      </c>
      <c r="AG28" s="564" t="str">
        <f>IF(AF28&lt;AG$13,"_","on pienempi kuin vertailulaskelmissa")</f>
        <v>_</v>
      </c>
      <c r="AH28" s="564" t="str">
        <f>IF(AF28&gt;AH$13,"_","on suurempi kuin vertailulaskelmissa")</f>
        <v>on suurempi kuin vertailulaskelmissa</v>
      </c>
      <c r="AI28" s="564">
        <f t="shared" si="4"/>
        <v>0</v>
      </c>
      <c r="AK28" s="45" t="str">
        <f t="shared" si="10"/>
        <v>Liikepääoman korko</v>
      </c>
      <c r="AL28" s="44" t="str">
        <f t="shared" si="5"/>
        <v>on suurempi kuin vertailulaskelmissa</v>
      </c>
      <c r="AN28" s="245"/>
    </row>
    <row r="29" spans="2:40" x14ac:dyDescent="0.35">
      <c r="B29" s="77"/>
      <c r="C29" s="744" t="s">
        <v>359</v>
      </c>
      <c r="D29" s="77"/>
      <c r="E29" s="36">
        <f>'Rehun käyttö, nettosato'!E28</f>
        <v>0</v>
      </c>
      <c r="F29" s="36">
        <f>'Rehun käyttö, nettosato'!F28</f>
        <v>600</v>
      </c>
      <c r="G29" s="745">
        <f>IF(E29=0,0,F29/E29)</f>
        <v>0</v>
      </c>
      <c r="H29" s="39"/>
      <c r="I29" s="730"/>
      <c r="K29" s="19"/>
      <c r="L29" s="19"/>
      <c r="M29" s="19"/>
      <c r="N29" s="19"/>
      <c r="O29" s="273"/>
      <c r="P29" s="297"/>
      <c r="Q29" s="19"/>
      <c r="S29" s="39"/>
      <c r="T29" s="39"/>
      <c r="U29" s="39"/>
      <c r="V29" s="382"/>
      <c r="W29" s="537"/>
      <c r="X29" s="388"/>
      <c r="Y29" s="539"/>
      <c r="Z29" s="389"/>
      <c r="AA29" s="541"/>
      <c r="AC29" s="561"/>
      <c r="AD29" s="561"/>
      <c r="AE29" s="561"/>
      <c r="AF29" s="562"/>
      <c r="AN29" s="245"/>
    </row>
    <row r="30" spans="2:40" ht="15.5" x14ac:dyDescent="0.35">
      <c r="B30" s="77"/>
      <c r="C30" s="77"/>
      <c r="D30" s="39"/>
      <c r="E30" s="39"/>
      <c r="F30" s="39"/>
      <c r="G30" s="623"/>
      <c r="H30" s="39"/>
      <c r="I30" s="730"/>
      <c r="K30" s="51" t="s">
        <v>54</v>
      </c>
      <c r="L30" s="74" t="s">
        <v>55</v>
      </c>
      <c r="M30" s="663" t="s">
        <v>20</v>
      </c>
      <c r="N30" s="316" t="s">
        <v>38</v>
      </c>
      <c r="O30" s="268" t="s">
        <v>534</v>
      </c>
      <c r="P30" s="34" t="s">
        <v>466</v>
      </c>
      <c r="Q30" s="34" t="s">
        <v>512</v>
      </c>
      <c r="S30" s="61" t="s">
        <v>54</v>
      </c>
      <c r="T30" s="39"/>
      <c r="U30" s="39"/>
      <c r="V30" s="527">
        <f>SUM(V31:V32)</f>
        <v>25.137610483409372</v>
      </c>
      <c r="W30" s="63">
        <f>IF(V$42=0,0,V30/V$42)</f>
        <v>0.40286928446510434</v>
      </c>
      <c r="X30" s="530">
        <f>SUM(X31:X32)</f>
        <v>4.9307017543859653</v>
      </c>
      <c r="Y30" s="65">
        <f>IF(X$42=0,0,X30/X$42)</f>
        <v>0.12531506406630294</v>
      </c>
      <c r="Z30" s="531">
        <f>SUM(Z31:Z32)</f>
        <v>3.4859377635351656</v>
      </c>
      <c r="AA30" s="67">
        <f>IF(Z$42=0,0,Z30/Z$42)</f>
        <v>0.10768072041249156</v>
      </c>
      <c r="AC30" s="561">
        <f t="shared" si="1"/>
        <v>25.137610483409372</v>
      </c>
      <c r="AD30" s="561">
        <f t="shared" si="2"/>
        <v>4.9307017543859653</v>
      </c>
      <c r="AE30" s="561">
        <f t="shared" si="3"/>
        <v>20.206908729023407</v>
      </c>
      <c r="AF30" s="562">
        <f>AD30/AC30</f>
        <v>0.19614838720013544</v>
      </c>
      <c r="AG30" s="564" t="str">
        <f>IF(AF30&lt;AG$13,"_","on pienempi kuin vertailulaskelmissa")</f>
        <v>_</v>
      </c>
      <c r="AH30" s="564" t="str">
        <f>IF(AF30&gt;AH$13,"_","on suurempi kuin vertailulaskelmissa")</f>
        <v>on suurempi kuin vertailulaskelmissa</v>
      </c>
      <c r="AI30" s="564">
        <f t="shared" si="4"/>
        <v>0</v>
      </c>
      <c r="AK30" s="45" t="str">
        <f>S30</f>
        <v>Työkustannus</v>
      </c>
      <c r="AL30" s="44" t="str">
        <f t="shared" si="5"/>
        <v>on suurempi kuin vertailulaskelmissa</v>
      </c>
      <c r="AN30" s="245"/>
    </row>
    <row r="31" spans="2:40" x14ac:dyDescent="0.35">
      <c r="B31" s="77" t="s">
        <v>28</v>
      </c>
      <c r="C31" s="39"/>
      <c r="D31" s="39"/>
      <c r="E31" s="50" t="s">
        <v>27</v>
      </c>
      <c r="F31" s="50" t="s">
        <v>20</v>
      </c>
      <c r="G31" s="50" t="s">
        <v>25</v>
      </c>
      <c r="H31" s="39"/>
      <c r="I31" s="75" t="s">
        <v>22</v>
      </c>
      <c r="K31" s="17" t="s">
        <v>56</v>
      </c>
      <c r="L31" s="215">
        <f>Lähtötiedot!G19-L32</f>
        <v>5</v>
      </c>
      <c r="M31" s="36">
        <f>L31*365*P31</f>
        <v>31025</v>
      </c>
      <c r="N31" s="22">
        <v>1</v>
      </c>
      <c r="O31" s="269">
        <f>IF(P$3="Tarkista",0,M31*N31/P$3)</f>
        <v>1551.25</v>
      </c>
      <c r="P31" s="293">
        <f>'Säilörehun tuotantokustannus'!$P$26</f>
        <v>17</v>
      </c>
      <c r="Q31" s="215">
        <f>IF(P31=0,0,O31/P31)</f>
        <v>91.25</v>
      </c>
      <c r="S31" s="39"/>
      <c r="T31" s="39" t="s">
        <v>243</v>
      </c>
      <c r="U31" s="39"/>
      <c r="V31" s="382">
        <f>IF(P$3="Tarkista",0,O31*(1-Q$43)/(M$5/P$3)*100)</f>
        <v>25.137610483409372</v>
      </c>
      <c r="W31" s="536">
        <f>IF(V$42=0,0,V31/V$42)</f>
        <v>0.40286928446510434</v>
      </c>
      <c r="X31" s="388">
        <f>Tuotantokustannusvertailu!N70</f>
        <v>4.4904605263157897</v>
      </c>
      <c r="Y31" s="538">
        <f t="shared" ref="Y31:AA32" si="16">IF(X$42=0,0,X31/X$42)</f>
        <v>0.11412621906038303</v>
      </c>
      <c r="Z31" s="389">
        <f>Tuotantokustannusvertailu!AC70</f>
        <v>3.1396525552369705</v>
      </c>
      <c r="AA31" s="540">
        <f t="shared" si="16"/>
        <v>9.6983960106614933E-2</v>
      </c>
      <c r="AC31" s="561">
        <f t="shared" si="1"/>
        <v>25.137610483409372</v>
      </c>
      <c r="AD31" s="561">
        <f t="shared" si="2"/>
        <v>4.4904605263157897</v>
      </c>
      <c r="AE31" s="561">
        <f t="shared" si="3"/>
        <v>20.647149957093582</v>
      </c>
      <c r="AF31" s="562">
        <f>AD31/AC31</f>
        <v>0.17863513834298048</v>
      </c>
      <c r="AG31" s="564" t="str">
        <f>IF(AF31&lt;AG$13,"_","on pienempi kuin vertailulaskelmissa")</f>
        <v>_</v>
      </c>
      <c r="AH31" s="564" t="str">
        <f>IF(AF31&gt;AH$13,"_","on suurempi kuin vertailulaskelmissa")</f>
        <v>on suurempi kuin vertailulaskelmissa</v>
      </c>
      <c r="AI31" s="564">
        <f t="shared" si="4"/>
        <v>0</v>
      </c>
      <c r="AK31" s="45" t="str">
        <f>T31</f>
        <v>Yrittäjäperheen työkust.</v>
      </c>
      <c r="AL31" s="44" t="str">
        <f t="shared" si="5"/>
        <v>on suurempi kuin vertailulaskelmissa</v>
      </c>
      <c r="AN31" s="245"/>
    </row>
    <row r="32" spans="2:40" x14ac:dyDescent="0.35">
      <c r="B32" s="39"/>
      <c r="C32" s="300" t="s">
        <v>361</v>
      </c>
      <c r="D32" s="640"/>
      <c r="E32" s="36">
        <f>'Rehun käyttö, nettosato'!E31</f>
        <v>0</v>
      </c>
      <c r="F32" s="36">
        <f>'Rehun käyttö, nettosato'!F31</f>
        <v>0</v>
      </c>
      <c r="G32" s="745">
        <f>IF(E32=0,0,F32/E32)</f>
        <v>0</v>
      </c>
      <c r="H32" s="39"/>
      <c r="I32" s="53">
        <f>'Rehun käyttö, nettosato'!I31</f>
        <v>0</v>
      </c>
      <c r="K32" s="17" t="s">
        <v>61</v>
      </c>
      <c r="L32" s="215">
        <f>Lähtötiedot!H24/365</f>
        <v>0</v>
      </c>
      <c r="M32" s="24">
        <f>L32*365*P32</f>
        <v>0</v>
      </c>
      <c r="N32" s="22">
        <v>1</v>
      </c>
      <c r="O32" s="269">
        <f>IF(P$3="Tarkista",0,M32*N32/P$3)</f>
        <v>0</v>
      </c>
      <c r="P32" s="293">
        <f>'Säilörehun tuotantokustannus'!$P$27</f>
        <v>15</v>
      </c>
      <c r="Q32" s="215">
        <f>IF(P32=0,0,O32/P32)</f>
        <v>0</v>
      </c>
      <c r="S32" s="39"/>
      <c r="T32" s="39" t="s">
        <v>62</v>
      </c>
      <c r="U32" s="39"/>
      <c r="V32" s="382">
        <f>IF(P$3="Tarkista",0,O32*(1-Q$43)/(M$5/P$3)*100)</f>
        <v>0</v>
      </c>
      <c r="W32" s="536">
        <f>IF(V$42=0,0,V32/V$42)</f>
        <v>0</v>
      </c>
      <c r="X32" s="388">
        <f>Tuotantokustannusvertailu!N71</f>
        <v>0.44024122807017552</v>
      </c>
      <c r="Y32" s="538">
        <f t="shared" si="16"/>
        <v>1.1188845005919906E-2</v>
      </c>
      <c r="Z32" s="389">
        <f>Tuotantokustannusvertailu!AC71</f>
        <v>0.34628520829819531</v>
      </c>
      <c r="AA32" s="540">
        <f t="shared" si="16"/>
        <v>1.0696760305876648E-2</v>
      </c>
      <c r="AC32" s="561">
        <f t="shared" si="1"/>
        <v>0</v>
      </c>
      <c r="AD32" s="561">
        <f t="shared" si="2"/>
        <v>0.44024122807017552</v>
      </c>
      <c r="AE32" s="561">
        <f t="shared" si="3"/>
        <v>-0.44024122807017552</v>
      </c>
      <c r="AF32" s="562" t="e">
        <f>AD32/AC32</f>
        <v>#DIV/0!</v>
      </c>
      <c r="AG32" s="564" t="e">
        <f>IF(AF32&lt;AG$13,"_","on pienempi kuin vertailulaskelmissa")</f>
        <v>#DIV/0!</v>
      </c>
      <c r="AH32" s="564" t="e">
        <f>IF(AF32&gt;AH$13,"_","on suurempi kuin vertailulaskelmissa")</f>
        <v>#DIV/0!</v>
      </c>
      <c r="AI32" s="564">
        <f t="shared" si="4"/>
        <v>1</v>
      </c>
      <c r="AK32" s="45" t="str">
        <f>T32</f>
        <v>Palkkatyökustannus</v>
      </c>
      <c r="AL32" s="44" t="str">
        <f t="shared" si="5"/>
        <v>_</v>
      </c>
      <c r="AN32" s="245"/>
    </row>
    <row r="33" spans="2:40" x14ac:dyDescent="0.35">
      <c r="B33" s="39"/>
      <c r="C33" s="300" t="s">
        <v>362</v>
      </c>
      <c r="D33" s="640"/>
      <c r="E33" s="36">
        <f>'Rehun käyttö, nettosato'!E32</f>
        <v>0</v>
      </c>
      <c r="F33" s="36">
        <f>'Rehun käyttö, nettosato'!F32</f>
        <v>0</v>
      </c>
      <c r="G33" s="745">
        <f>IF(E33=0,0,F33/E33)</f>
        <v>0</v>
      </c>
      <c r="H33" s="39"/>
      <c r="I33" s="53">
        <f>'Rehun käyttö, nettosato'!I32</f>
        <v>0</v>
      </c>
      <c r="K33" s="19"/>
      <c r="L33" s="19"/>
      <c r="M33" s="19"/>
      <c r="N33" s="19"/>
      <c r="O33" s="273"/>
      <c r="P33" s="297"/>
      <c r="Q33" s="19"/>
      <c r="S33" s="39"/>
      <c r="T33" s="39"/>
      <c r="U33" s="39"/>
      <c r="V33" s="382"/>
      <c r="W33" s="537"/>
      <c r="X33" s="388"/>
      <c r="Y33" s="539"/>
      <c r="Z33" s="389"/>
      <c r="AA33" s="541"/>
      <c r="AC33" s="561"/>
      <c r="AD33" s="561"/>
      <c r="AE33" s="561"/>
      <c r="AF33" s="562"/>
      <c r="AK33" s="45"/>
      <c r="AN33" s="245"/>
    </row>
    <row r="34" spans="2:40" ht="16" thickBot="1" x14ac:dyDescent="0.4">
      <c r="B34" s="39"/>
      <c r="C34" s="746" t="s">
        <v>419</v>
      </c>
      <c r="D34" s="640"/>
      <c r="E34" s="36">
        <f>'Rehun käyttö, nettosato'!E33</f>
        <v>0</v>
      </c>
      <c r="F34" s="36">
        <f>'Rehun käyttö, nettosato'!F33</f>
        <v>0</v>
      </c>
      <c r="G34" s="745">
        <f>IF(E34=0,0,F34/E34)</f>
        <v>0</v>
      </c>
      <c r="H34" s="39"/>
      <c r="I34" s="53">
        <f>'Rehun käyttö, nettosato'!I33</f>
        <v>0</v>
      </c>
      <c r="K34" s="51" t="s">
        <v>63</v>
      </c>
      <c r="L34" s="19"/>
      <c r="M34" s="21"/>
      <c r="N34" s="20"/>
      <c r="O34" s="391"/>
      <c r="P34" s="297"/>
      <c r="Q34" s="19"/>
      <c r="S34" s="39"/>
      <c r="T34" s="39"/>
      <c r="U34" s="39"/>
      <c r="V34" s="382"/>
      <c r="W34" s="537"/>
      <c r="X34" s="388"/>
      <c r="Y34" s="539"/>
      <c r="Z34" s="389"/>
      <c r="AA34" s="541"/>
      <c r="AC34" s="561"/>
      <c r="AD34" s="561"/>
      <c r="AE34" s="561"/>
      <c r="AF34" s="562"/>
      <c r="AK34" s="45"/>
      <c r="AN34" s="245"/>
    </row>
    <row r="35" spans="2:40" ht="15" thickTop="1" x14ac:dyDescent="0.35">
      <c r="B35" s="39"/>
      <c r="C35" s="39"/>
      <c r="D35" s="56" t="s">
        <v>31</v>
      </c>
      <c r="E35" s="39"/>
      <c r="F35" s="39"/>
      <c r="G35" s="39"/>
      <c r="H35" s="39"/>
      <c r="I35" s="53">
        <f>SUM(I32:I34)</f>
        <v>0</v>
      </c>
      <c r="K35" s="277" t="s">
        <v>64</v>
      </c>
      <c r="L35" s="292" t="s">
        <v>769</v>
      </c>
      <c r="M35" s="663" t="s">
        <v>20</v>
      </c>
      <c r="N35" s="316" t="s">
        <v>38</v>
      </c>
      <c r="O35" s="268" t="s">
        <v>534</v>
      </c>
      <c r="P35" s="297"/>
      <c r="Q35" s="34" t="s">
        <v>470</v>
      </c>
      <c r="S35" s="61" t="s">
        <v>63</v>
      </c>
      <c r="T35" s="39"/>
      <c r="U35" s="39"/>
      <c r="V35" s="527">
        <f>SUM(V36:V40)</f>
        <v>13.998196350727298</v>
      </c>
      <c r="W35" s="63">
        <f t="shared" ref="W35:W40" si="17">IF(V$42=0,0,V35/V$42)</f>
        <v>0.22434285674613066</v>
      </c>
      <c r="X35" s="530">
        <f>SUM(X36:X40)</f>
        <v>11.849122807017544</v>
      </c>
      <c r="Y35" s="65">
        <f>IF(X$42=0,0,X35/X$42)</f>
        <v>0.30114852969358119</v>
      </c>
      <c r="Z35" s="531">
        <f>SUM(Z36:Z40)</f>
        <v>16.009866756620003</v>
      </c>
      <c r="AA35" s="67">
        <f>IF(Z$42=0,0,Z35/Z$42)</f>
        <v>0.49454525668655147</v>
      </c>
      <c r="AC35" s="561">
        <f t="shared" si="1"/>
        <v>13.998196350727298</v>
      </c>
      <c r="AD35" s="561">
        <f t="shared" si="2"/>
        <v>11.849122807017544</v>
      </c>
      <c r="AE35" s="561">
        <f t="shared" si="3"/>
        <v>2.1490735437097541</v>
      </c>
      <c r="AF35" s="562">
        <f t="shared" ref="AF35:AF40" si="18">AD35/AC35</f>
        <v>0.84647496792698618</v>
      </c>
      <c r="AG35" s="564" t="str">
        <f>IF(AF35&lt;AG$13,"_","ovat pienemmät kuin vertailulaskelmassa")</f>
        <v>_</v>
      </c>
      <c r="AH35" s="564" t="str">
        <f>IF(AF35&gt;AH$13,"_","ovat suuremmat kuin vertailulaskelmassa")</f>
        <v>_</v>
      </c>
      <c r="AI35" s="564">
        <f t="shared" si="4"/>
        <v>0</v>
      </c>
      <c r="AK35" s="45" t="str">
        <f>S35</f>
        <v>Kiinteät kustannukset</v>
      </c>
      <c r="AL35" s="44" t="str">
        <f t="shared" si="5"/>
        <v>_</v>
      </c>
      <c r="AN35" s="245"/>
    </row>
    <row r="36" spans="2:40" ht="15" thickBot="1" x14ac:dyDescent="0.4">
      <c r="C36" s="39"/>
      <c r="D36" s="39"/>
      <c r="E36" s="39"/>
      <c r="F36" s="39"/>
      <c r="G36" s="39"/>
      <c r="H36" s="39"/>
      <c r="I36" s="39"/>
      <c r="K36" s="278" t="s">
        <v>474</v>
      </c>
      <c r="L36" s="431">
        <f>Lähtötiedot!M19</f>
        <v>70000</v>
      </c>
      <c r="M36" s="16">
        <f>L36/Lähtötiedot!L19</f>
        <v>4666.666666666667</v>
      </c>
      <c r="N36" s="23">
        <f>N$14</f>
        <v>0.63844190841619353</v>
      </c>
      <c r="O36" s="269">
        <f>IF(P$3="Tarkista",0,M36*N36/P$3)</f>
        <v>148.96977863044518</v>
      </c>
      <c r="P36" s="297"/>
      <c r="Q36" s="266">
        <v>0.03</v>
      </c>
      <c r="S36" s="39"/>
      <c r="T36" s="39" t="s">
        <v>67</v>
      </c>
      <c r="U36" s="39"/>
      <c r="V36" s="382">
        <f>IF(P$3="Tarkista",0,O36*(1-Q$43)/(M$5/P$3)*100)</f>
        <v>2.4140172564137643</v>
      </c>
      <c r="W36" s="536">
        <f t="shared" si="17"/>
        <v>3.8688379128942747E-2</v>
      </c>
      <c r="X36" s="388">
        <f>Tuotantokustannusvertailu!N75</f>
        <v>1.0721247563352827</v>
      </c>
      <c r="Y36" s="538">
        <f t="shared" ref="Y36:AA40" si="19">IF(X$42=0,0,X36/X$42)</f>
        <v>2.7248328781540102E-2</v>
      </c>
      <c r="Z36" s="389">
        <f>Tuotantokustannusvertailu!AC75</f>
        <v>1.4336313037611741</v>
      </c>
      <c r="AA36" s="540">
        <f t="shared" si="19"/>
        <v>4.4284913290691758E-2</v>
      </c>
      <c r="AC36" s="561">
        <f t="shared" si="1"/>
        <v>2.4140172564137643</v>
      </c>
      <c r="AD36" s="561">
        <f t="shared" si="2"/>
        <v>1.0721247563352827</v>
      </c>
      <c r="AE36" s="561">
        <f t="shared" si="3"/>
        <v>1.3418925000784816</v>
      </c>
      <c r="AF36" s="562">
        <f t="shared" si="18"/>
        <v>0.44412472756222904</v>
      </c>
      <c r="AG36" s="564" t="str">
        <f>IF(AF36&lt;AG$13,"_","ovat pienemmät kuin vertailulaskelmassa")</f>
        <v>_</v>
      </c>
      <c r="AH36" s="564" t="str">
        <f>IF(AF36&gt;AH$13,"_","ovat suuremmat kuin vertailulaskelmassa")</f>
        <v>ovat suuremmat kuin vertailulaskelmassa</v>
      </c>
      <c r="AI36" s="564">
        <f t="shared" si="4"/>
        <v>0</v>
      </c>
      <c r="AK36" s="45" t="str">
        <f>T36</f>
        <v>Konepoistot</v>
      </c>
      <c r="AL36" s="44" t="str">
        <f t="shared" si="5"/>
        <v>ovat suuremmat kuin vertailulaskelmassa</v>
      </c>
      <c r="AN36" s="245"/>
    </row>
    <row r="37" spans="2:40" ht="15" thickBot="1" x14ac:dyDescent="0.4">
      <c r="B37" s="77" t="s">
        <v>33</v>
      </c>
      <c r="C37" s="39"/>
      <c r="D37" s="39"/>
      <c r="E37" s="39"/>
      <c r="F37" s="39"/>
      <c r="G37" s="39"/>
      <c r="H37" s="748">
        <f>1-I12/I37</f>
        <v>4.5520351340867515E-3</v>
      </c>
      <c r="I37" s="747">
        <f>SUM(I17:I28)-I35</f>
        <v>2116241.2371134018</v>
      </c>
      <c r="K37" s="279" t="s">
        <v>68</v>
      </c>
      <c r="L37" s="432">
        <f>Lähtötiedot!M20</f>
        <v>120000</v>
      </c>
      <c r="M37" s="16">
        <f>L37/Lähtötiedot!L20</f>
        <v>8000</v>
      </c>
      <c r="N37" s="23">
        <f>N$14</f>
        <v>0.63844190841619353</v>
      </c>
      <c r="O37" s="269">
        <f>IF(P$3="Tarkista",0,M37*N37/P$3)</f>
        <v>255.37676336647741</v>
      </c>
      <c r="P37" s="297"/>
      <c r="Q37" s="266">
        <v>0.01</v>
      </c>
      <c r="S37" s="39"/>
      <c r="T37" s="39" t="s">
        <v>69</v>
      </c>
      <c r="U37" s="39"/>
      <c r="V37" s="382">
        <f>IF(P$3="Tarkista",0,O37*(1-Q$43)/(M$5/P$3)*100)</f>
        <v>4.1383152967093091</v>
      </c>
      <c r="W37" s="536">
        <f t="shared" si="17"/>
        <v>6.632293564961611E-2</v>
      </c>
      <c r="X37" s="388">
        <f>Tuotantokustannusvertailu!N76</f>
        <v>5.3606237816764146</v>
      </c>
      <c r="Y37" s="538">
        <f t="shared" si="19"/>
        <v>0.13624164390770055</v>
      </c>
      <c r="Z37" s="389">
        <f>Tuotantokustannusvertailu!AC76</f>
        <v>7.5898127846179788</v>
      </c>
      <c r="AA37" s="540">
        <f t="shared" si="19"/>
        <v>0.23444954095072101</v>
      </c>
      <c r="AC37" s="561">
        <f t="shared" si="1"/>
        <v>4.1383152967093091</v>
      </c>
      <c r="AD37" s="561">
        <f t="shared" si="2"/>
        <v>5.3606237816764146</v>
      </c>
      <c r="AE37" s="561">
        <f t="shared" si="3"/>
        <v>-1.2223084849671055</v>
      </c>
      <c r="AF37" s="562">
        <f t="shared" si="18"/>
        <v>1.2953637887231686</v>
      </c>
      <c r="AG37" s="564" t="str">
        <f>IF(AF37&lt;AG$13,"_","ovat pienemmät kuin vertailulaskelmassa")</f>
        <v>ovat pienemmät kuin vertailulaskelmassa</v>
      </c>
      <c r="AH37" s="564" t="str">
        <f>IF(AF37&gt;AH$13,"_","ovat suuremmat kuin vertailulaskelmassa")</f>
        <v>_</v>
      </c>
      <c r="AI37" s="564">
        <f t="shared" si="4"/>
        <v>0</v>
      </c>
      <c r="AK37" s="45" t="str">
        <f>T37</f>
        <v>Rakennuspoistot</v>
      </c>
      <c r="AL37" s="44" t="str">
        <f t="shared" si="5"/>
        <v>ovat pienemmät kuin vertailulaskelmassa</v>
      </c>
      <c r="AN37" s="245"/>
    </row>
    <row r="38" spans="2:40" x14ac:dyDescent="0.35">
      <c r="B38" s="78"/>
      <c r="C38" s="78"/>
      <c r="D38" s="78"/>
      <c r="E38" s="79"/>
      <c r="F38" s="398"/>
      <c r="G38" s="399"/>
      <c r="H38" s="400"/>
      <c r="I38" s="399"/>
      <c r="K38" s="276" t="s">
        <v>71</v>
      </c>
      <c r="L38" s="433">
        <f>Lähtötiedot!M24+Lähtötiedot!M25</f>
        <v>5000</v>
      </c>
      <c r="M38" s="24">
        <f>IF(P$3="Tarkista",0,L38/P$3)</f>
        <v>250</v>
      </c>
      <c r="N38" s="23">
        <f>N$14</f>
        <v>0.63844190841619353</v>
      </c>
      <c r="O38" s="269">
        <f>M38*N38</f>
        <v>159.61047710404839</v>
      </c>
      <c r="P38" s="297"/>
      <c r="Q38" s="24">
        <f>IF(P3="Tarkista",0,(L37*Q37+L36*Q36)/P3)</f>
        <v>165</v>
      </c>
      <c r="S38" s="39"/>
      <c r="T38" s="39" t="s">
        <v>71</v>
      </c>
      <c r="U38" s="39"/>
      <c r="V38" s="382">
        <f>IF(P$3="Tarkista",0,O38*(1-Q$43)/(M$5/P$3)*100)</f>
        <v>2.5864470604433185</v>
      </c>
      <c r="W38" s="536">
        <f t="shared" si="17"/>
        <v>4.1451834781010076E-2</v>
      </c>
      <c r="X38" s="388">
        <f>Tuotantokustannusvertailu!N77</f>
        <v>0.80409356725146208</v>
      </c>
      <c r="Y38" s="538">
        <f t="shared" si="19"/>
        <v>2.0436246586155078E-2</v>
      </c>
      <c r="Z38" s="389">
        <f>Tuotantokustannusvertailu!AC77</f>
        <v>1.26496879743633</v>
      </c>
      <c r="AA38" s="540">
        <f t="shared" si="19"/>
        <v>3.9074923491786838E-2</v>
      </c>
      <c r="AC38" s="561">
        <f t="shared" si="1"/>
        <v>2.5864470604433185</v>
      </c>
      <c r="AD38" s="561">
        <f t="shared" si="2"/>
        <v>0.80409356725146208</v>
      </c>
      <c r="AE38" s="561">
        <f t="shared" si="3"/>
        <v>1.7823534931918563</v>
      </c>
      <c r="AF38" s="562">
        <f t="shared" si="18"/>
        <v>0.3108873092935604</v>
      </c>
      <c r="AG38" s="564" t="str">
        <f>IF(AF38&lt;AG$13,"_","on pienempi kuin vertailulaskelmissa")</f>
        <v>_</v>
      </c>
      <c r="AH38" s="564" t="str">
        <f>IF(AF38&gt;AH$13,"_","on suurempi kuin vertailulaskelmissa")</f>
        <v>on suurempi kuin vertailulaskelmissa</v>
      </c>
      <c r="AI38" s="564">
        <f t="shared" si="4"/>
        <v>0</v>
      </c>
      <c r="AK38" s="45" t="str">
        <f>T38</f>
        <v>Huolto ja kunnossapito</v>
      </c>
      <c r="AL38" s="44" t="str">
        <f t="shared" si="5"/>
        <v>on suurempi kuin vertailulaskelmissa</v>
      </c>
      <c r="AN38" s="245"/>
    </row>
    <row r="39" spans="2:40" x14ac:dyDescent="0.35">
      <c r="B39" s="585" t="s">
        <v>681</v>
      </c>
      <c r="C39" s="586"/>
      <c r="D39" s="587"/>
      <c r="E39" s="549" t="s">
        <v>40</v>
      </c>
      <c r="F39" s="543" t="s">
        <v>41</v>
      </c>
      <c r="G39" s="544" t="s">
        <v>42</v>
      </c>
      <c r="H39" s="11"/>
      <c r="I39" s="11"/>
      <c r="K39" s="14" t="s">
        <v>73</v>
      </c>
      <c r="L39" s="36">
        <f>(L36+L37+L41)/2*Q39</f>
        <v>4750</v>
      </c>
      <c r="M39" s="36">
        <f>IF(P$3="Tarkista",0,L39/P$3)</f>
        <v>237.5</v>
      </c>
      <c r="N39" s="23">
        <f>N$14</f>
        <v>0.63844190841619353</v>
      </c>
      <c r="O39" s="269">
        <f>M39*N39</f>
        <v>151.62995324884596</v>
      </c>
      <c r="P39" s="297"/>
      <c r="Q39" s="23">
        <v>0.05</v>
      </c>
      <c r="S39" s="39"/>
      <c r="T39" s="39" t="s">
        <v>73</v>
      </c>
      <c r="U39" s="39"/>
      <c r="V39" s="382">
        <f>IF(P$3="Tarkista",0,O39*(1-Q$43)/(M$5/P$3)*100)</f>
        <v>2.4571247074211526</v>
      </c>
      <c r="W39" s="536">
        <f t="shared" si="17"/>
        <v>3.9379243041959576E-2</v>
      </c>
      <c r="X39" s="388">
        <f>Tuotantokustannusvertailu!N78</f>
        <v>2.4122807017543857</v>
      </c>
      <c r="Y39" s="538">
        <f t="shared" si="19"/>
        <v>6.1308739758465222E-2</v>
      </c>
      <c r="Z39" s="389">
        <f>Tuotantokustannusvertailu!AC78</f>
        <v>3.3837915331421824</v>
      </c>
      <c r="AA39" s="540">
        <f t="shared" si="19"/>
        <v>0.10452542034052979</v>
      </c>
      <c r="AC39" s="561">
        <f t="shared" si="1"/>
        <v>2.4571247074211526</v>
      </c>
      <c r="AD39" s="561">
        <f t="shared" si="2"/>
        <v>2.4122807017543857</v>
      </c>
      <c r="AE39" s="561">
        <f t="shared" si="3"/>
        <v>4.484400566676694E-2</v>
      </c>
      <c r="AF39" s="562">
        <f t="shared" si="18"/>
        <v>0.98174939776913783</v>
      </c>
      <c r="AG39" s="564" t="str">
        <f>IF(AF39&lt;AG$13,"_","on pienempi kuin vertailulaskelmissa")</f>
        <v>_</v>
      </c>
      <c r="AH39" s="564" t="str">
        <f>IF(AF39&gt;AH$13,"_","on suurempi kuin vertailulaskelmissa")</f>
        <v>_</v>
      </c>
      <c r="AI39" s="564">
        <f t="shared" si="4"/>
        <v>0</v>
      </c>
      <c r="AK39" s="45" t="str">
        <f>T39</f>
        <v>Korko</v>
      </c>
      <c r="AL39" s="44" t="str">
        <f t="shared" si="5"/>
        <v>_</v>
      </c>
      <c r="AN39" s="245"/>
    </row>
    <row r="40" spans="2:40" x14ac:dyDescent="0.35">
      <c r="B40" s="545" t="s">
        <v>689</v>
      </c>
      <c r="C40" s="545"/>
      <c r="D40" s="545"/>
      <c r="E40" s="550">
        <f>O9</f>
        <v>3870</v>
      </c>
      <c r="F40" s="546">
        <f>Tuotantokustannusvertailu!G48</f>
        <v>3257.1428571428569</v>
      </c>
      <c r="G40" s="547">
        <f>Tuotantokustannusvertailu!V48</f>
        <v>4400</v>
      </c>
      <c r="H40" s="11"/>
      <c r="I40" s="11"/>
      <c r="K40" s="14" t="s">
        <v>74</v>
      </c>
      <c r="L40" s="36">
        <f>IF(P3="Tarkista",0,M40*P3)</f>
        <v>4644</v>
      </c>
      <c r="M40" s="36">
        <f>O9*Q40</f>
        <v>232.2</v>
      </c>
      <c r="N40" s="23">
        <f>N$14</f>
        <v>0.63844190841619353</v>
      </c>
      <c r="O40" s="269">
        <f>M40*N40</f>
        <v>148.24621113424013</v>
      </c>
      <c r="P40" s="297"/>
      <c r="Q40" s="23">
        <v>0.06</v>
      </c>
      <c r="S40" s="39"/>
      <c r="T40" s="39" t="s">
        <v>74</v>
      </c>
      <c r="U40" s="39"/>
      <c r="V40" s="382">
        <f>IF(P$3="Tarkista",0,O40*(1-Q$43)/(M$5/P$3)*100)</f>
        <v>2.4022920297397539</v>
      </c>
      <c r="W40" s="536">
        <f t="shared" si="17"/>
        <v>3.8500464144602155E-2</v>
      </c>
      <c r="X40" s="388">
        <f>Tuotantokustannusvertailu!N79</f>
        <v>2.1999999999999997</v>
      </c>
      <c r="Y40" s="538">
        <f t="shared" si="19"/>
        <v>5.5913570659720281E-2</v>
      </c>
      <c r="Z40" s="389">
        <f>Tuotantokustannusvertailu!AC79</f>
        <v>2.3376623376623376</v>
      </c>
      <c r="AA40" s="540">
        <f t="shared" si="19"/>
        <v>7.2210458612822076E-2</v>
      </c>
      <c r="AC40" s="561">
        <f t="shared" si="1"/>
        <v>2.4022920297397539</v>
      </c>
      <c r="AD40" s="561">
        <f t="shared" si="2"/>
        <v>2.1999999999999997</v>
      </c>
      <c r="AE40" s="561">
        <f t="shared" si="3"/>
        <v>0.20229202973975413</v>
      </c>
      <c r="AF40" s="562">
        <f t="shared" si="18"/>
        <v>0.91579207388800732</v>
      </c>
      <c r="AG40" s="564" t="str">
        <f>IF(AF40&lt;AG$13,"_","ovat pienemmät kuin vertailulaskelmassa")</f>
        <v>_</v>
      </c>
      <c r="AH40" s="564" t="str">
        <f>IF(AF40&gt;AH$13,"_","ovat suuremmat kuin vertailulaskelmassa")</f>
        <v>_</v>
      </c>
      <c r="AI40" s="564">
        <f t="shared" si="4"/>
        <v>0</v>
      </c>
      <c r="AK40" s="45" t="str">
        <f>T40</f>
        <v>Yleiskustannus</v>
      </c>
      <c r="AL40" s="44" t="str">
        <f t="shared" si="5"/>
        <v>_</v>
      </c>
      <c r="AN40" s="245"/>
    </row>
    <row r="41" spans="2:40" ht="15" thickBot="1" x14ac:dyDescent="0.4">
      <c r="B41" s="548" t="s">
        <v>678</v>
      </c>
      <c r="C41" s="545"/>
      <c r="D41" s="545"/>
      <c r="E41" s="550">
        <f>SUM(O14:O28)</f>
        <v>1435.4213345250992</v>
      </c>
      <c r="F41" s="546">
        <f>SUM(Tuotantokustannusvertailu!G53:G67)</f>
        <v>2004.618900408163</v>
      </c>
      <c r="G41" s="547">
        <f>SUM(Tuotantokustannusvertailu!V53:V67)</f>
        <v>1454.2539136734692</v>
      </c>
      <c r="H41" s="11"/>
      <c r="I41" s="11"/>
      <c r="J41" s="80"/>
      <c r="K41" s="39"/>
      <c r="L41" s="39"/>
      <c r="M41" s="39"/>
      <c r="N41" s="39"/>
      <c r="O41" s="89"/>
      <c r="P41" s="298"/>
      <c r="Q41" s="39"/>
      <c r="S41" s="39"/>
      <c r="T41" s="39"/>
      <c r="U41" s="39"/>
      <c r="V41" s="382"/>
      <c r="W41" s="382"/>
      <c r="X41" s="388"/>
      <c r="Y41" s="388"/>
      <c r="Z41" s="389"/>
      <c r="AA41" s="389"/>
      <c r="AC41" s="561"/>
      <c r="AD41" s="561"/>
      <c r="AE41" s="561"/>
      <c r="AF41" s="562"/>
      <c r="AK41" s="45"/>
      <c r="AN41" s="245"/>
    </row>
    <row r="42" spans="2:40" s="49" customFormat="1" ht="15" thickBot="1" x14ac:dyDescent="0.4">
      <c r="B42" s="551" t="s">
        <v>675</v>
      </c>
      <c r="C42" s="551"/>
      <c r="D42" s="551"/>
      <c r="E42" s="552">
        <f>E40-E41</f>
        <v>2434.5786654749008</v>
      </c>
      <c r="F42" s="553">
        <f>F40-F41</f>
        <v>1252.5239567346939</v>
      </c>
      <c r="G42" s="554">
        <f>G40-G41</f>
        <v>2945.7460863265305</v>
      </c>
      <c r="H42" s="665"/>
      <c r="I42" s="123"/>
      <c r="K42" s="39"/>
      <c r="L42" s="39"/>
      <c r="M42" s="39"/>
      <c r="N42" s="56" t="s">
        <v>535</v>
      </c>
      <c r="O42" s="271">
        <f>SUM(O14:O40)</f>
        <v>3850.5045180091561</v>
      </c>
      <c r="P42" s="298"/>
      <c r="Q42" s="39"/>
      <c r="S42" s="61" t="s">
        <v>539</v>
      </c>
      <c r="T42" s="77"/>
      <c r="U42" s="44"/>
      <c r="V42" s="527">
        <f>SUM(V15:V29,V31:V33,V36:V41)</f>
        <v>62.39644334460732</v>
      </c>
      <c r="W42" s="382"/>
      <c r="X42" s="530">
        <f>SUM(X15:X29,X31:X33,X36:X41)</f>
        <v>39.346440837928156</v>
      </c>
      <c r="Y42" s="388"/>
      <c r="Z42" s="531">
        <f>SUM(Z15:Z29,Z31:Z33,Z36:Z41)</f>
        <v>32.372905290581407</v>
      </c>
      <c r="AA42" s="389"/>
      <c r="AC42" s="561">
        <f t="shared" si="1"/>
        <v>62.39644334460732</v>
      </c>
      <c r="AD42" s="561">
        <f t="shared" si="2"/>
        <v>39.346440837928156</v>
      </c>
      <c r="AE42" s="561">
        <f t="shared" si="3"/>
        <v>23.050002506679164</v>
      </c>
      <c r="AF42" s="562">
        <f>AD42/AC42</f>
        <v>0.63058787855299636</v>
      </c>
      <c r="AG42" s="564" t="str">
        <f>IF(AF42&lt;AG$13,"_","on pienempi kuin vertailulaskelmissa")</f>
        <v>_</v>
      </c>
      <c r="AH42" s="564" t="str">
        <f>IF(AF42&gt;AH$13,"_","on suurempi kuin vertailulaskelmissa")</f>
        <v>on suurempi kuin vertailulaskelmissa</v>
      </c>
      <c r="AI42" s="564">
        <f t="shared" si="4"/>
        <v>0</v>
      </c>
      <c r="AK42" s="45" t="str">
        <f>S42</f>
        <v xml:space="preserve">Tuotantokust. €/kg </v>
      </c>
      <c r="AL42" s="44" t="str">
        <f t="shared" si="5"/>
        <v>on suurempi kuin vertailulaskelmissa</v>
      </c>
      <c r="AN42" s="245"/>
    </row>
    <row r="43" spans="2:40" s="49" customFormat="1" ht="15" thickBot="1" x14ac:dyDescent="0.4">
      <c r="B43" s="542" t="s">
        <v>679</v>
      </c>
      <c r="C43" s="545"/>
      <c r="D43" s="545"/>
      <c r="E43" s="550">
        <f>SUM(O31:O32)</f>
        <v>1551.25</v>
      </c>
      <c r="F43" s="546">
        <f>SUM(Tuotantokustannusvertailu!G70:G71)</f>
        <v>438</v>
      </c>
      <c r="G43" s="547">
        <f>SUM(Tuotantokustannusvertailu!V70:V71)</f>
        <v>393.67857142857139</v>
      </c>
      <c r="H43" s="665"/>
      <c r="I43" s="123"/>
      <c r="K43" s="39"/>
      <c r="L43" s="39"/>
      <c r="M43" s="39"/>
      <c r="N43" s="56" t="s">
        <v>511</v>
      </c>
      <c r="O43" s="392">
        <f>O7*Lähtötiedot!Q19</f>
        <v>107.25824061392051</v>
      </c>
      <c r="P43" s="298"/>
      <c r="Q43" s="381">
        <f>IF(O9=0,0,O43/O9)</f>
        <v>2.7715307652175843E-2</v>
      </c>
      <c r="S43" s="61"/>
      <c r="T43" s="384" t="s">
        <v>625</v>
      </c>
      <c r="U43" s="127"/>
      <c r="V43" s="528"/>
      <c r="W43" s="534"/>
      <c r="X43" s="530"/>
      <c r="Y43" s="388"/>
      <c r="Z43" s="531"/>
      <c r="AA43" s="389"/>
      <c r="AC43" s="424"/>
      <c r="AD43" s="424"/>
      <c r="AE43" s="424"/>
      <c r="AF43" s="424"/>
      <c r="AG43" s="564"/>
      <c r="AH43" s="564"/>
      <c r="AI43" s="564"/>
      <c r="AK43" s="45"/>
      <c r="AL43" s="44"/>
      <c r="AN43" s="245"/>
    </row>
    <row r="44" spans="2:40" s="49" customFormat="1" ht="15" thickBot="1" x14ac:dyDescent="0.4">
      <c r="B44" s="551" t="s">
        <v>676</v>
      </c>
      <c r="C44" s="551"/>
      <c r="D44" s="551"/>
      <c r="E44" s="552">
        <f>E42-E43</f>
        <v>883.32866547490084</v>
      </c>
      <c r="F44" s="553">
        <f>F42-F43</f>
        <v>814.52395673469391</v>
      </c>
      <c r="G44" s="554">
        <f>G42-G43</f>
        <v>2552.067514897959</v>
      </c>
      <c r="H44" s="665"/>
      <c r="I44" s="123"/>
      <c r="K44" s="39"/>
      <c r="L44" s="39"/>
      <c r="M44" s="39"/>
      <c r="N44" s="56" t="s">
        <v>536</v>
      </c>
      <c r="O44" s="271">
        <f>O42-O43</f>
        <v>3743.2462773952357</v>
      </c>
      <c r="P44" s="379"/>
      <c r="Q44" s="380"/>
      <c r="S44" s="61"/>
      <c r="T44" s="384" t="s">
        <v>507</v>
      </c>
      <c r="U44" s="127"/>
      <c r="V44" s="528">
        <f>V42-V15+Q14</f>
        <v>58.312849086833047</v>
      </c>
      <c r="W44" s="534"/>
      <c r="X44" s="530"/>
      <c r="Y44" s="388"/>
      <c r="Z44" s="531"/>
      <c r="AA44" s="389"/>
      <c r="AC44" s="424"/>
      <c r="AD44" s="424"/>
      <c r="AE44" s="424"/>
      <c r="AF44" s="424"/>
      <c r="AG44" s="564"/>
      <c r="AH44" s="564"/>
      <c r="AI44" s="564"/>
      <c r="AK44" s="45"/>
      <c r="AL44" s="44"/>
      <c r="AN44" s="245"/>
    </row>
    <row r="45" spans="2:40" s="49" customFormat="1" x14ac:dyDescent="0.35">
      <c r="B45" s="548" t="s">
        <v>680</v>
      </c>
      <c r="C45" s="545"/>
      <c r="D45" s="545"/>
      <c r="E45" s="550">
        <f>SUM(O36:O40)</f>
        <v>863.83318348405714</v>
      </c>
      <c r="F45" s="546">
        <f>SUM(Tuotantokustannusvertailu!G75:G79)</f>
        <v>1052.5714285714284</v>
      </c>
      <c r="G45" s="547">
        <f>SUM(Tuotantokustannusvertailu!V75:V79)</f>
        <v>1808.047619047619</v>
      </c>
      <c r="H45" s="665"/>
      <c r="I45" s="123"/>
      <c r="K45" s="39"/>
      <c r="L45" s="39"/>
      <c r="M45" s="39"/>
      <c r="N45" s="39"/>
      <c r="O45" s="39"/>
      <c r="P45" s="39"/>
      <c r="Q45" s="39"/>
      <c r="S45" s="61"/>
      <c r="T45" s="37" t="str">
        <f>CONCATENATE('Säilörehun tuotantokustannus'!N5," €/kg ka eli ",Q14," €/tuotettu kg")</f>
        <v>0,12 €/kg ka eli 6,109 €/tuotettu kg</v>
      </c>
      <c r="U45" s="37"/>
      <c r="V45" s="386"/>
      <c r="W45" s="37"/>
      <c r="X45" s="64"/>
      <c r="Y45" s="57"/>
      <c r="Z45" s="66"/>
      <c r="AA45" s="58"/>
      <c r="AC45" s="424"/>
      <c r="AD45" s="424"/>
      <c r="AE45" s="424"/>
      <c r="AF45" s="424"/>
      <c r="AG45" s="564"/>
      <c r="AH45" s="564"/>
      <c r="AI45" s="564"/>
      <c r="AK45" s="45"/>
      <c r="AL45" s="44"/>
      <c r="AN45" s="245"/>
    </row>
    <row r="46" spans="2:40" s="49" customFormat="1" x14ac:dyDescent="0.35">
      <c r="B46" s="551" t="s">
        <v>677</v>
      </c>
      <c r="C46" s="551"/>
      <c r="D46" s="551"/>
      <c r="E46" s="552">
        <f>E44-E45</f>
        <v>19.4954819908437</v>
      </c>
      <c r="F46" s="553">
        <f>F44-F45</f>
        <v>-238.04747183673453</v>
      </c>
      <c r="G46" s="554">
        <f>G44-G45</f>
        <v>744.01989585033994</v>
      </c>
      <c r="H46" s="665"/>
      <c r="I46" s="123"/>
      <c r="K46" s="39"/>
      <c r="L46" s="39"/>
      <c r="M46" s="39"/>
      <c r="N46" s="39"/>
      <c r="O46" s="39"/>
      <c r="P46" s="39"/>
      <c r="Q46" s="39"/>
      <c r="S46" s="61"/>
      <c r="T46" s="77"/>
      <c r="U46" s="77"/>
      <c r="V46" s="62"/>
      <c r="W46" s="39"/>
      <c r="X46" s="64"/>
      <c r="Y46" s="57"/>
      <c r="Z46" s="66"/>
      <c r="AA46" s="58"/>
      <c r="AC46" s="424"/>
      <c r="AD46" s="424"/>
      <c r="AE46" s="424"/>
      <c r="AF46" s="424"/>
      <c r="AG46" s="564"/>
      <c r="AH46" s="564"/>
      <c r="AI46" s="564"/>
      <c r="AK46" s="46"/>
      <c r="AL46" s="44"/>
      <c r="AM46" s="80"/>
      <c r="AN46" s="245"/>
    </row>
    <row r="47" spans="2:40" s="49" customFormat="1" x14ac:dyDescent="0.35">
      <c r="R47" s="80"/>
      <c r="AB47" s="80"/>
      <c r="AC47" s="560"/>
      <c r="AD47" s="560"/>
      <c r="AE47" s="560"/>
      <c r="AF47" s="560"/>
      <c r="AG47" s="565"/>
      <c r="AH47" s="565"/>
      <c r="AI47" s="565"/>
      <c r="AJ47" s="80"/>
      <c r="AK47" s="81"/>
    </row>
    <row r="48" spans="2:40" s="49" customFormat="1" x14ac:dyDescent="0.35">
      <c r="B48" s="555"/>
      <c r="C48" s="555"/>
      <c r="D48" s="555"/>
      <c r="E48" s="556"/>
      <c r="F48" s="555"/>
      <c r="G48" s="555"/>
      <c r="H48" s="555"/>
      <c r="I48" s="80"/>
      <c r="J48" s="213"/>
      <c r="K48" s="213"/>
      <c r="L48" s="213"/>
      <c r="M48" s="213"/>
      <c r="N48" s="213"/>
      <c r="O48" s="213"/>
      <c r="P48" s="213"/>
      <c r="Q48" s="213"/>
      <c r="X48" s="81"/>
      <c r="Y48" s="82"/>
      <c r="AC48" s="424"/>
      <c r="AD48" s="424"/>
      <c r="AE48" s="424"/>
      <c r="AF48" s="424"/>
      <c r="AG48" s="564"/>
      <c r="AH48" s="564"/>
      <c r="AI48" s="564"/>
      <c r="AK48" s="81"/>
    </row>
    <row r="49" spans="2:37" s="49" customFormat="1" x14ac:dyDescent="0.35">
      <c r="B49" s="213"/>
      <c r="C49" s="213"/>
      <c r="D49" s="213"/>
      <c r="E49" s="213"/>
      <c r="F49" s="213"/>
      <c r="G49" s="213"/>
      <c r="H49" s="213"/>
      <c r="I49" s="213"/>
      <c r="J49" s="213"/>
      <c r="K49" s="313" t="str">
        <f>T15</f>
        <v xml:space="preserve">   Säilörehu</v>
      </c>
      <c r="L49" s="393">
        <f>V15</f>
        <v>10.192594257774278</v>
      </c>
      <c r="M49" s="213"/>
      <c r="N49" s="213"/>
      <c r="O49" s="213"/>
      <c r="P49" s="213"/>
      <c r="Q49" s="213"/>
      <c r="AC49" s="424"/>
      <c r="AD49" s="424"/>
      <c r="AE49" s="424"/>
      <c r="AF49" s="424"/>
      <c r="AG49" s="564"/>
      <c r="AH49" s="564"/>
      <c r="AI49" s="564"/>
      <c r="AK49" s="81"/>
    </row>
    <row r="50" spans="2:37" s="49" customFormat="1" x14ac:dyDescent="0.35">
      <c r="B50" s="213"/>
      <c r="C50" s="213"/>
      <c r="D50" s="213"/>
      <c r="E50" s="213"/>
      <c r="F50" s="213"/>
      <c r="G50" s="213"/>
      <c r="H50" s="213"/>
      <c r="I50" s="213"/>
      <c r="J50" s="213"/>
      <c r="K50" s="313" t="str">
        <f>T16</f>
        <v xml:space="preserve">   Rehuvilja</v>
      </c>
      <c r="L50" s="393">
        <f>V16</f>
        <v>0</v>
      </c>
      <c r="M50" s="213"/>
      <c r="N50" s="213"/>
      <c r="O50" s="213"/>
      <c r="P50" s="213"/>
      <c r="Q50" s="213"/>
      <c r="AC50" s="424"/>
      <c r="AD50" s="424"/>
      <c r="AE50" s="424"/>
      <c r="AF50" s="424"/>
      <c r="AG50" s="564"/>
      <c r="AH50" s="564"/>
      <c r="AI50" s="564"/>
      <c r="AK50" s="81"/>
    </row>
    <row r="51" spans="2:37" s="49" customFormat="1" x14ac:dyDescent="0.35">
      <c r="B51" s="213"/>
      <c r="C51" s="213"/>
      <c r="D51" s="213"/>
      <c r="E51" s="213"/>
      <c r="F51" s="213"/>
      <c r="G51" s="213"/>
      <c r="H51" s="213"/>
      <c r="I51" s="213"/>
      <c r="J51" s="213"/>
      <c r="K51" s="313" t="str">
        <f>T20</f>
        <v>Ostorehut</v>
      </c>
      <c r="L51" s="393">
        <f>V20</f>
        <v>1.0345788241773273</v>
      </c>
      <c r="M51" s="213"/>
      <c r="N51" s="213"/>
      <c r="O51" s="213"/>
      <c r="P51" s="213"/>
      <c r="Q51" s="213"/>
      <c r="S51" s="83"/>
      <c r="T51" s="83"/>
      <c r="U51" s="83"/>
      <c r="V51" s="83"/>
      <c r="W51" s="83"/>
      <c r="X51" s="83"/>
      <c r="AC51" s="424"/>
      <c r="AD51" s="424"/>
      <c r="AE51" s="424"/>
      <c r="AF51" s="424"/>
      <c r="AG51" s="564"/>
      <c r="AH51" s="564"/>
      <c r="AI51" s="564"/>
      <c r="AK51" s="81"/>
    </row>
    <row r="52" spans="2:37" s="49" customFormat="1" x14ac:dyDescent="0.35">
      <c r="B52" s="213"/>
      <c r="C52" s="213"/>
      <c r="D52" s="213"/>
      <c r="E52" s="213"/>
      <c r="F52" s="213"/>
      <c r="G52" s="213"/>
      <c r="H52" s="213"/>
      <c r="I52" s="213"/>
      <c r="J52" s="213"/>
      <c r="K52" s="313" t="str">
        <f>T26</f>
        <v>Eläinten ostot</v>
      </c>
      <c r="L52" s="393">
        <f>V26</f>
        <v>0</v>
      </c>
      <c r="M52" s="213"/>
      <c r="N52" s="213"/>
      <c r="O52" s="213"/>
      <c r="P52" s="213"/>
      <c r="Q52" s="213"/>
      <c r="S52" s="83"/>
      <c r="T52" s="83"/>
      <c r="U52" s="83" t="str">
        <f>V12</f>
        <v>Oma laskelma</v>
      </c>
      <c r="V52" s="83" t="str">
        <f>X12</f>
        <v>Hyvä</v>
      </c>
      <c r="W52" s="83" t="str">
        <f>Z12</f>
        <v>Erinomainen</v>
      </c>
      <c r="X52" s="83"/>
      <c r="AC52" s="424"/>
      <c r="AD52" s="424"/>
      <c r="AE52" s="424"/>
      <c r="AF52" s="424"/>
      <c r="AG52" s="564"/>
      <c r="AH52" s="564"/>
      <c r="AI52" s="564"/>
      <c r="AK52" s="81"/>
    </row>
    <row r="53" spans="2:37" s="49" customFormat="1" x14ac:dyDescent="0.35">
      <c r="B53" s="213"/>
      <c r="C53" s="213"/>
      <c r="D53" s="213"/>
      <c r="E53" s="213"/>
      <c r="F53" s="213"/>
      <c r="G53" s="213"/>
      <c r="H53" s="213"/>
      <c r="I53" s="213"/>
      <c r="J53" s="213"/>
      <c r="K53" s="212" t="s">
        <v>510</v>
      </c>
      <c r="L53" s="393">
        <f>V14-SUM(L49:L52)</f>
        <v>12.033463428519049</v>
      </c>
      <c r="M53" s="213"/>
      <c r="N53" s="213"/>
      <c r="O53" s="213"/>
      <c r="P53" s="213"/>
      <c r="Q53" s="213"/>
      <c r="S53" s="83"/>
      <c r="T53" s="84" t="str">
        <f>S14</f>
        <v>Muuttuvat kustannukset</v>
      </c>
      <c r="U53" s="492">
        <f>V14</f>
        <v>23.260636510470654</v>
      </c>
      <c r="V53" s="492">
        <f>X14</f>
        <v>22.566616276524648</v>
      </c>
      <c r="W53" s="492">
        <f>Z14</f>
        <v>12.877100770426235</v>
      </c>
      <c r="X53" s="83"/>
      <c r="AC53" s="424"/>
      <c r="AD53" s="424"/>
      <c r="AE53" s="424"/>
      <c r="AF53" s="424"/>
      <c r="AG53" s="564"/>
      <c r="AH53" s="564"/>
      <c r="AI53" s="564"/>
      <c r="AK53" s="81"/>
    </row>
    <row r="54" spans="2:37" s="49" customFormat="1" x14ac:dyDescent="0.35">
      <c r="B54" s="213"/>
      <c r="C54" s="213"/>
      <c r="D54" s="213"/>
      <c r="E54" s="213"/>
      <c r="F54" s="213"/>
      <c r="G54" s="213"/>
      <c r="H54" s="213"/>
      <c r="I54" s="213"/>
      <c r="J54" s="213"/>
      <c r="K54" s="313" t="str">
        <f>S30</f>
        <v>Työkustannus</v>
      </c>
      <c r="L54" s="393">
        <f>V30</f>
        <v>25.137610483409372</v>
      </c>
      <c r="M54" s="213"/>
      <c r="N54" s="213"/>
      <c r="O54" s="213"/>
      <c r="P54" s="213"/>
      <c r="Q54" s="213"/>
      <c r="S54" s="83"/>
      <c r="T54" s="84" t="str">
        <f>S30</f>
        <v>Työkustannus</v>
      </c>
      <c r="U54" s="492">
        <f>V30</f>
        <v>25.137610483409372</v>
      </c>
      <c r="V54" s="492">
        <f>X30</f>
        <v>4.9307017543859653</v>
      </c>
      <c r="W54" s="492">
        <f>Z30</f>
        <v>3.4859377635351656</v>
      </c>
      <c r="X54" s="83"/>
      <c r="AC54" s="424"/>
      <c r="AD54" s="424"/>
      <c r="AE54" s="424"/>
      <c r="AF54" s="424"/>
      <c r="AG54" s="564"/>
      <c r="AH54" s="564"/>
      <c r="AI54" s="564"/>
      <c r="AK54" s="81"/>
    </row>
    <row r="55" spans="2:37" s="49" customFormat="1" x14ac:dyDescent="0.35">
      <c r="B55" s="213"/>
      <c r="C55" s="213"/>
      <c r="D55" s="213"/>
      <c r="E55" s="213"/>
      <c r="F55" s="213"/>
      <c r="G55" s="213"/>
      <c r="H55" s="213"/>
      <c r="I55" s="213"/>
      <c r="J55" s="213"/>
      <c r="K55" s="313" t="str">
        <f>S35</f>
        <v>Kiinteät kustannukset</v>
      </c>
      <c r="L55" s="393">
        <f>V35</f>
        <v>13.998196350727298</v>
      </c>
      <c r="M55" s="213"/>
      <c r="N55" s="213"/>
      <c r="O55" s="213"/>
      <c r="P55" s="213"/>
      <c r="Q55" s="213"/>
      <c r="S55" s="83"/>
      <c r="T55" s="84" t="str">
        <f>S35</f>
        <v>Kiinteät kustannukset</v>
      </c>
      <c r="U55" s="492">
        <f>V35</f>
        <v>13.998196350727298</v>
      </c>
      <c r="V55" s="492">
        <f>X35</f>
        <v>11.849122807017544</v>
      </c>
      <c r="W55" s="492">
        <f>Z35</f>
        <v>16.009866756620003</v>
      </c>
      <c r="X55" s="83"/>
      <c r="AC55" s="424"/>
      <c r="AD55" s="424"/>
      <c r="AE55" s="424"/>
      <c r="AF55" s="424"/>
      <c r="AG55" s="564"/>
      <c r="AH55" s="564"/>
      <c r="AI55" s="564"/>
      <c r="AK55" s="81"/>
    </row>
    <row r="56" spans="2:37" s="49" customFormat="1" x14ac:dyDescent="0.35">
      <c r="B56" s="213"/>
      <c r="C56" s="213"/>
      <c r="D56" s="213"/>
      <c r="E56" s="213"/>
      <c r="F56" s="213"/>
      <c r="G56" s="213"/>
      <c r="H56" s="213"/>
      <c r="I56" s="213"/>
      <c r="J56" s="213"/>
      <c r="K56" s="213"/>
      <c r="L56" s="213"/>
      <c r="M56" s="213"/>
      <c r="N56" s="213"/>
      <c r="O56" s="213"/>
      <c r="P56" s="213"/>
      <c r="Q56" s="213"/>
      <c r="AC56" s="424"/>
      <c r="AD56" s="424"/>
      <c r="AE56" s="424"/>
      <c r="AF56" s="424"/>
      <c r="AG56" s="564"/>
      <c r="AH56" s="564"/>
      <c r="AI56" s="564"/>
      <c r="AK56" s="81"/>
    </row>
    <row r="57" spans="2:37" s="49" customFormat="1" x14ac:dyDescent="0.35">
      <c r="B57" s="213"/>
      <c r="C57" s="213"/>
      <c r="D57" s="213"/>
      <c r="E57" s="213"/>
      <c r="F57" s="213"/>
      <c r="G57" s="213"/>
      <c r="H57" s="213"/>
      <c r="I57" s="213"/>
      <c r="J57" s="213"/>
      <c r="K57" s="213"/>
      <c r="L57" s="213"/>
      <c r="M57" s="213"/>
      <c r="N57" s="213"/>
      <c r="O57" s="213"/>
      <c r="P57" s="213"/>
      <c r="Q57" s="213"/>
      <c r="AC57" s="424"/>
      <c r="AD57" s="424"/>
      <c r="AE57" s="424"/>
      <c r="AF57" s="424"/>
      <c r="AG57" s="564"/>
      <c r="AH57" s="564"/>
      <c r="AI57" s="564"/>
      <c r="AK57" s="81"/>
    </row>
    <row r="58" spans="2:37" s="49" customFormat="1" x14ac:dyDescent="0.35">
      <c r="B58" s="213"/>
      <c r="C58" s="213"/>
      <c r="D58" s="213"/>
      <c r="E58" s="213"/>
      <c r="F58" s="213"/>
      <c r="G58" s="213"/>
      <c r="H58" s="213"/>
      <c r="I58" s="213"/>
      <c r="J58" s="213"/>
      <c r="K58" s="213"/>
      <c r="L58" s="213"/>
      <c r="M58" s="213"/>
      <c r="N58" s="213"/>
      <c r="O58" s="213"/>
      <c r="P58" s="213"/>
      <c r="Q58" s="213"/>
      <c r="AC58" s="424"/>
      <c r="AD58" s="424"/>
      <c r="AE58" s="424"/>
      <c r="AF58" s="424"/>
      <c r="AG58" s="564"/>
      <c r="AH58" s="564"/>
      <c r="AI58" s="564"/>
      <c r="AK58" s="81"/>
    </row>
    <row r="59" spans="2:37" s="49" customFormat="1" x14ac:dyDescent="0.35">
      <c r="B59" s="213"/>
      <c r="C59" s="213"/>
      <c r="D59" s="213"/>
      <c r="E59" s="213"/>
      <c r="F59" s="213"/>
      <c r="G59" s="213"/>
      <c r="H59" s="213"/>
      <c r="I59" s="213"/>
      <c r="J59" s="213"/>
      <c r="K59" s="213"/>
      <c r="L59" s="213"/>
      <c r="M59" s="213"/>
      <c r="N59" s="213"/>
      <c r="O59" s="213"/>
      <c r="P59" s="213"/>
      <c r="Q59" s="213"/>
      <c r="AC59" s="424"/>
      <c r="AD59" s="424"/>
      <c r="AE59" s="424"/>
      <c r="AF59" s="424"/>
      <c r="AG59" s="564"/>
      <c r="AH59" s="564"/>
      <c r="AI59" s="564"/>
      <c r="AK59" s="81"/>
    </row>
    <row r="60" spans="2:37" s="49" customFormat="1" x14ac:dyDescent="0.35">
      <c r="B60" s="213"/>
      <c r="C60" s="213"/>
      <c r="D60" s="213"/>
      <c r="E60" s="213"/>
      <c r="F60" s="213"/>
      <c r="G60" s="213"/>
      <c r="H60" s="213"/>
      <c r="I60" s="213"/>
      <c r="J60" s="213"/>
      <c r="K60" s="213"/>
      <c r="L60" s="213"/>
      <c r="M60" s="213"/>
      <c r="N60" s="213"/>
      <c r="O60" s="213"/>
      <c r="P60" s="213"/>
      <c r="Q60" s="213"/>
      <c r="AC60" s="424"/>
      <c r="AD60" s="424"/>
      <c r="AE60" s="424"/>
      <c r="AF60" s="424"/>
      <c r="AG60" s="564"/>
      <c r="AH60" s="564"/>
      <c r="AI60" s="564"/>
      <c r="AK60" s="81"/>
    </row>
    <row r="61" spans="2:37" s="49" customFormat="1" x14ac:dyDescent="0.35">
      <c r="B61" s="213"/>
      <c r="C61" s="213"/>
      <c r="D61" s="213"/>
      <c r="E61" s="213"/>
      <c r="F61" s="213"/>
      <c r="G61" s="213"/>
      <c r="H61" s="213"/>
      <c r="I61" s="213"/>
      <c r="J61" s="213"/>
      <c r="K61" s="213"/>
      <c r="L61" s="213"/>
      <c r="M61" s="213"/>
      <c r="N61" s="213"/>
      <c r="O61" s="213"/>
      <c r="P61" s="213"/>
      <c r="Q61" s="213"/>
      <c r="AC61" s="424"/>
      <c r="AD61" s="424"/>
      <c r="AE61" s="424"/>
      <c r="AF61" s="424"/>
      <c r="AG61" s="564"/>
      <c r="AH61" s="564"/>
      <c r="AI61" s="564"/>
      <c r="AK61" s="81"/>
    </row>
    <row r="62" spans="2:37" s="49" customFormat="1" x14ac:dyDescent="0.35">
      <c r="B62" s="213"/>
      <c r="C62" s="213"/>
      <c r="D62" s="213"/>
      <c r="E62" s="213"/>
      <c r="F62" s="213"/>
      <c r="G62" s="213"/>
      <c r="H62" s="213"/>
      <c r="I62" s="213"/>
      <c r="J62" s="213"/>
      <c r="K62" s="213"/>
      <c r="L62" s="213"/>
      <c r="M62" s="213"/>
      <c r="N62" s="213"/>
      <c r="O62" s="213"/>
      <c r="P62" s="213"/>
      <c r="Q62" s="213"/>
      <c r="AC62" s="424"/>
      <c r="AD62" s="424"/>
      <c r="AE62" s="424"/>
      <c r="AF62" s="424"/>
      <c r="AG62" s="564"/>
      <c r="AH62" s="564"/>
      <c r="AI62" s="564"/>
      <c r="AK62" s="81"/>
    </row>
    <row r="63" spans="2:37" s="49" customFormat="1" x14ac:dyDescent="0.35">
      <c r="B63" s="213"/>
      <c r="C63" s="213"/>
      <c r="D63" s="213"/>
      <c r="E63" s="213"/>
      <c r="F63" s="213"/>
      <c r="G63" s="213"/>
      <c r="H63" s="213"/>
      <c r="I63" s="213"/>
      <c r="J63" s="213"/>
      <c r="K63" s="213"/>
      <c r="L63" s="213"/>
      <c r="M63" s="213"/>
      <c r="N63" s="213"/>
      <c r="O63" s="213"/>
      <c r="P63" s="213"/>
      <c r="Q63" s="213"/>
      <c r="AC63" s="424"/>
      <c r="AD63" s="424"/>
      <c r="AE63" s="424"/>
      <c r="AF63" s="424"/>
      <c r="AG63" s="564"/>
      <c r="AH63" s="564"/>
      <c r="AI63" s="564"/>
      <c r="AK63" s="81"/>
    </row>
    <row r="64" spans="2:37" s="49" customFormat="1" x14ac:dyDescent="0.35">
      <c r="B64" s="213"/>
      <c r="C64" s="213"/>
      <c r="D64" s="213"/>
      <c r="E64" s="213"/>
      <c r="F64" s="213"/>
      <c r="G64" s="213"/>
      <c r="H64" s="213"/>
      <c r="I64" s="213"/>
      <c r="J64" s="213"/>
      <c r="K64" s="213"/>
      <c r="L64" s="213"/>
      <c r="M64" s="213"/>
      <c r="N64" s="213"/>
      <c r="O64" s="213"/>
      <c r="P64" s="213"/>
      <c r="Q64" s="213"/>
      <c r="AC64" s="424"/>
      <c r="AD64" s="424"/>
      <c r="AE64" s="424"/>
      <c r="AF64" s="424"/>
      <c r="AG64" s="564"/>
      <c r="AH64" s="564"/>
      <c r="AI64" s="564"/>
      <c r="AK64" s="81"/>
    </row>
    <row r="65" spans="2:37" s="49" customFormat="1" x14ac:dyDescent="0.35">
      <c r="B65" s="213"/>
      <c r="C65" s="213"/>
      <c r="D65" s="213"/>
      <c r="E65" s="213"/>
      <c r="F65" s="213"/>
      <c r="G65" s="213"/>
      <c r="H65" s="213"/>
      <c r="I65" s="213"/>
      <c r="J65" s="213"/>
      <c r="K65" s="213"/>
      <c r="L65" s="213"/>
      <c r="M65" s="213"/>
      <c r="N65" s="213"/>
      <c r="O65" s="213"/>
      <c r="P65" s="213"/>
      <c r="Q65" s="213"/>
      <c r="AC65" s="424"/>
      <c r="AD65" s="424"/>
      <c r="AE65" s="424"/>
      <c r="AF65" s="424"/>
      <c r="AG65" s="564"/>
      <c r="AH65" s="564"/>
      <c r="AI65" s="564"/>
      <c r="AK65" s="81"/>
    </row>
    <row r="66" spans="2:37" s="49" customFormat="1" x14ac:dyDescent="0.35">
      <c r="B66" s="213"/>
      <c r="C66" s="213"/>
      <c r="D66" s="213"/>
      <c r="E66" s="213"/>
      <c r="F66" s="213"/>
      <c r="G66" s="213"/>
      <c r="H66" s="213"/>
      <c r="I66" s="213"/>
      <c r="J66" s="213"/>
      <c r="K66" s="213"/>
      <c r="L66" s="213"/>
      <c r="M66" s="213"/>
      <c r="N66" s="213"/>
      <c r="O66" s="213"/>
      <c r="P66" s="213"/>
      <c r="Q66" s="213"/>
      <c r="AC66" s="424"/>
      <c r="AD66" s="424"/>
      <c r="AE66" s="424"/>
      <c r="AF66" s="424"/>
      <c r="AG66" s="564"/>
      <c r="AH66" s="564"/>
      <c r="AI66" s="564"/>
      <c r="AK66" s="81"/>
    </row>
    <row r="67" spans="2:37" s="49" customFormat="1" x14ac:dyDescent="0.35">
      <c r="B67" s="213"/>
      <c r="C67" s="213"/>
      <c r="D67" s="213"/>
      <c r="E67" s="213"/>
      <c r="F67" s="213"/>
      <c r="G67" s="213"/>
      <c r="H67" s="213"/>
      <c r="I67" s="213"/>
      <c r="J67" s="213"/>
      <c r="K67" s="213"/>
      <c r="L67" s="213"/>
      <c r="M67" s="213"/>
      <c r="N67" s="213"/>
      <c r="O67" s="213"/>
      <c r="P67" s="213"/>
      <c r="Q67" s="213"/>
      <c r="AC67" s="424"/>
      <c r="AD67" s="424"/>
      <c r="AE67" s="424"/>
      <c r="AF67" s="424"/>
      <c r="AG67" s="564"/>
      <c r="AH67" s="564"/>
      <c r="AI67" s="564"/>
      <c r="AK67" s="81"/>
    </row>
    <row r="68" spans="2:37" s="49" customFormat="1" x14ac:dyDescent="0.35">
      <c r="AC68" s="424"/>
      <c r="AD68" s="424"/>
      <c r="AE68" s="424"/>
      <c r="AF68" s="424"/>
      <c r="AG68" s="564"/>
      <c r="AH68" s="564"/>
      <c r="AI68" s="564"/>
      <c r="AK68" s="81"/>
    </row>
    <row r="69" spans="2:37" s="49" customFormat="1" x14ac:dyDescent="0.35">
      <c r="AC69" s="424"/>
      <c r="AD69" s="424"/>
      <c r="AE69" s="424"/>
      <c r="AF69" s="424"/>
      <c r="AG69" s="564"/>
      <c r="AH69" s="564"/>
      <c r="AI69" s="564"/>
      <c r="AK69" s="81"/>
    </row>
    <row r="70" spans="2:37" s="49" customFormat="1" x14ac:dyDescent="0.35">
      <c r="AC70" s="424"/>
      <c r="AD70" s="424"/>
      <c r="AE70" s="424"/>
      <c r="AF70" s="424"/>
      <c r="AG70" s="564"/>
      <c r="AH70" s="564"/>
      <c r="AI70" s="564"/>
      <c r="AK70" s="81"/>
    </row>
    <row r="71" spans="2:37" s="49" customFormat="1" x14ac:dyDescent="0.35">
      <c r="AC71" s="424"/>
      <c r="AD71" s="424"/>
      <c r="AE71" s="424"/>
      <c r="AF71" s="424"/>
      <c r="AG71" s="564"/>
      <c r="AH71" s="564"/>
      <c r="AI71" s="564"/>
      <c r="AK71" s="81"/>
    </row>
    <row r="72" spans="2:37" s="49" customFormat="1" x14ac:dyDescent="0.35">
      <c r="AC72" s="424"/>
      <c r="AD72" s="424"/>
      <c r="AE72" s="424"/>
      <c r="AF72" s="424"/>
      <c r="AG72" s="564"/>
      <c r="AH72" s="564"/>
      <c r="AI72" s="564"/>
      <c r="AK72" s="81"/>
    </row>
    <row r="73" spans="2:37" s="49" customFormat="1" x14ac:dyDescent="0.35">
      <c r="AC73" s="424"/>
      <c r="AD73" s="424"/>
      <c r="AE73" s="424"/>
      <c r="AF73" s="424"/>
      <c r="AG73" s="564"/>
      <c r="AH73" s="564"/>
      <c r="AI73" s="564"/>
      <c r="AK73" s="81"/>
    </row>
    <row r="74" spans="2:37" s="49" customFormat="1" x14ac:dyDescent="0.35">
      <c r="AC74" s="424"/>
      <c r="AD74" s="424"/>
      <c r="AE74" s="424"/>
      <c r="AF74" s="424"/>
      <c r="AG74" s="564"/>
      <c r="AH74" s="564"/>
      <c r="AI74" s="564"/>
      <c r="AK74" s="81"/>
    </row>
    <row r="75" spans="2:37" s="49" customFormat="1" x14ac:dyDescent="0.35">
      <c r="AC75" s="424"/>
      <c r="AD75" s="424"/>
      <c r="AE75" s="424"/>
      <c r="AF75" s="424"/>
      <c r="AG75" s="564"/>
      <c r="AH75" s="564"/>
      <c r="AI75" s="564"/>
      <c r="AK75" s="81"/>
    </row>
    <row r="76" spans="2:37" s="49" customFormat="1" x14ac:dyDescent="0.35">
      <c r="AC76" s="424"/>
      <c r="AD76" s="424"/>
      <c r="AE76" s="424"/>
      <c r="AF76" s="424"/>
      <c r="AG76" s="564"/>
      <c r="AH76" s="564"/>
      <c r="AI76" s="564"/>
      <c r="AK76" s="81"/>
    </row>
    <row r="77" spans="2:37" s="49" customFormat="1" x14ac:dyDescent="0.35">
      <c r="AC77" s="424"/>
      <c r="AD77" s="424"/>
      <c r="AE77" s="424"/>
      <c r="AF77" s="424"/>
      <c r="AG77" s="564"/>
      <c r="AH77" s="564"/>
      <c r="AI77" s="564"/>
      <c r="AK77" s="81"/>
    </row>
    <row r="78" spans="2:37" s="49" customFormat="1" x14ac:dyDescent="0.35">
      <c r="W78" s="212"/>
      <c r="X78" s="212"/>
      <c r="Y78" s="212"/>
      <c r="Z78" s="212"/>
      <c r="AA78" s="212"/>
      <c r="AC78" s="424"/>
      <c r="AD78" s="424"/>
      <c r="AE78" s="424"/>
      <c r="AF78" s="424"/>
      <c r="AG78" s="564"/>
      <c r="AH78" s="564"/>
      <c r="AI78" s="564"/>
      <c r="AK78" s="81"/>
    </row>
    <row r="79" spans="2:37" s="49" customFormat="1" x14ac:dyDescent="0.35">
      <c r="W79" s="213"/>
      <c r="X79" s="213"/>
      <c r="Y79" s="213"/>
      <c r="Z79" s="213"/>
      <c r="AA79" s="213"/>
      <c r="AC79" s="424"/>
      <c r="AD79" s="424"/>
      <c r="AE79" s="424"/>
      <c r="AF79" s="424"/>
      <c r="AG79" s="564"/>
      <c r="AH79" s="564"/>
      <c r="AI79" s="564"/>
      <c r="AK79" s="81"/>
    </row>
    <row r="80" spans="2:37" s="49" customFormat="1" x14ac:dyDescent="0.35">
      <c r="W80" s="213"/>
      <c r="X80" s="213"/>
      <c r="Y80" s="213"/>
      <c r="Z80" s="213"/>
      <c r="AA80" s="213"/>
      <c r="AC80" s="424"/>
      <c r="AD80" s="424"/>
      <c r="AE80" s="424"/>
      <c r="AF80" s="424"/>
      <c r="AG80" s="564"/>
      <c r="AH80" s="564"/>
      <c r="AI80" s="564"/>
      <c r="AK80" s="81"/>
    </row>
    <row r="81" spans="23:37" s="49" customFormat="1" x14ac:dyDescent="0.35">
      <c r="W81" s="213"/>
      <c r="X81" s="213"/>
      <c r="Y81" s="213"/>
      <c r="Z81" s="213"/>
      <c r="AA81" s="213"/>
      <c r="AC81" s="424"/>
      <c r="AD81" s="424"/>
      <c r="AE81" s="424"/>
      <c r="AF81" s="424"/>
      <c r="AG81" s="564"/>
      <c r="AH81" s="564"/>
      <c r="AI81" s="564"/>
      <c r="AK81" s="81"/>
    </row>
    <row r="82" spans="23:37" s="49" customFormat="1" x14ac:dyDescent="0.35">
      <c r="W82" s="213"/>
      <c r="X82" s="213"/>
      <c r="Y82" s="213"/>
      <c r="Z82" s="213"/>
      <c r="AA82" s="213"/>
      <c r="AC82" s="424"/>
      <c r="AD82" s="424"/>
      <c r="AE82" s="424"/>
      <c r="AF82" s="424"/>
      <c r="AG82" s="564"/>
      <c r="AH82" s="564"/>
      <c r="AI82" s="564"/>
      <c r="AK82" s="81"/>
    </row>
    <row r="83" spans="23:37" s="49" customFormat="1" x14ac:dyDescent="0.35">
      <c r="W83" s="213"/>
      <c r="X83" s="213"/>
      <c r="Y83" s="213"/>
      <c r="Z83" s="213"/>
      <c r="AA83" s="213"/>
      <c r="AC83" s="424"/>
      <c r="AD83" s="424"/>
      <c r="AE83" s="424"/>
      <c r="AF83" s="424"/>
      <c r="AG83" s="564"/>
      <c r="AH83" s="564"/>
      <c r="AI83" s="564"/>
      <c r="AK83" s="81"/>
    </row>
    <row r="84" spans="23:37" s="49" customFormat="1" x14ac:dyDescent="0.35">
      <c r="AC84" s="424"/>
      <c r="AD84" s="424"/>
      <c r="AE84" s="424"/>
      <c r="AF84" s="424"/>
      <c r="AG84" s="564"/>
      <c r="AH84" s="564"/>
      <c r="AI84" s="564"/>
      <c r="AK84" s="81"/>
    </row>
    <row r="85" spans="23:37" s="49" customFormat="1" x14ac:dyDescent="0.35">
      <c r="AC85" s="424"/>
      <c r="AD85" s="424"/>
      <c r="AE85" s="424"/>
      <c r="AF85" s="424"/>
      <c r="AG85" s="564"/>
      <c r="AH85" s="564"/>
      <c r="AI85" s="564"/>
      <c r="AK85" s="81"/>
    </row>
    <row r="86" spans="23:37" s="49" customFormat="1" x14ac:dyDescent="0.35">
      <c r="AC86" s="424"/>
      <c r="AD86" s="424"/>
      <c r="AE86" s="424"/>
      <c r="AF86" s="424"/>
      <c r="AG86" s="564"/>
      <c r="AH86" s="564"/>
      <c r="AI86" s="564"/>
      <c r="AK86" s="81"/>
    </row>
    <row r="87" spans="23:37" s="49" customFormat="1" x14ac:dyDescent="0.35">
      <c r="AC87" s="424"/>
      <c r="AD87" s="424"/>
      <c r="AE87" s="424"/>
      <c r="AF87" s="424"/>
      <c r="AG87" s="564"/>
      <c r="AH87" s="564"/>
      <c r="AI87" s="564"/>
      <c r="AK87" s="81"/>
    </row>
    <row r="88" spans="23:37" s="49" customFormat="1" x14ac:dyDescent="0.35">
      <c r="AC88" s="424"/>
      <c r="AD88" s="424"/>
      <c r="AE88" s="424"/>
      <c r="AF88" s="424"/>
      <c r="AG88" s="564"/>
      <c r="AH88" s="564"/>
      <c r="AI88" s="564"/>
      <c r="AK88" s="81"/>
    </row>
    <row r="89" spans="23:37" s="49" customFormat="1" x14ac:dyDescent="0.35">
      <c r="AC89" s="424"/>
      <c r="AD89" s="424"/>
      <c r="AE89" s="424"/>
      <c r="AF89" s="424"/>
      <c r="AG89" s="564"/>
      <c r="AH89" s="564"/>
      <c r="AI89" s="564"/>
      <c r="AK89" s="81"/>
    </row>
    <row r="90" spans="23:37" s="49" customFormat="1" x14ac:dyDescent="0.35">
      <c r="AC90" s="424"/>
      <c r="AD90" s="424"/>
      <c r="AE90" s="424"/>
      <c r="AF90" s="424"/>
      <c r="AG90" s="564"/>
      <c r="AH90" s="564"/>
      <c r="AI90" s="564"/>
      <c r="AK90" s="81"/>
    </row>
    <row r="91" spans="23:37" s="49" customFormat="1" x14ac:dyDescent="0.35">
      <c r="AC91" s="424"/>
      <c r="AD91" s="424"/>
      <c r="AE91" s="424"/>
      <c r="AF91" s="424"/>
      <c r="AG91" s="564"/>
      <c r="AH91" s="564"/>
      <c r="AI91" s="564"/>
      <c r="AK91" s="81"/>
    </row>
    <row r="92" spans="23:37" s="49" customFormat="1" x14ac:dyDescent="0.35">
      <c r="AC92" s="424"/>
      <c r="AD92" s="424"/>
      <c r="AE92" s="424"/>
      <c r="AF92" s="424"/>
      <c r="AG92" s="564"/>
      <c r="AH92" s="564"/>
      <c r="AI92" s="564"/>
      <c r="AK92" s="81"/>
    </row>
    <row r="93" spans="23:37" s="49" customFormat="1" x14ac:dyDescent="0.35">
      <c r="AC93" s="424"/>
      <c r="AD93" s="424"/>
      <c r="AE93" s="424"/>
      <c r="AF93" s="424"/>
      <c r="AG93" s="564"/>
      <c r="AH93" s="564"/>
      <c r="AI93" s="564"/>
      <c r="AK93" s="81"/>
    </row>
    <row r="94" spans="23:37" s="49" customFormat="1" x14ac:dyDescent="0.35">
      <c r="AC94" s="424"/>
      <c r="AD94" s="424"/>
      <c r="AE94" s="424"/>
      <c r="AF94" s="424"/>
      <c r="AG94" s="564"/>
      <c r="AH94" s="564"/>
      <c r="AI94" s="564"/>
      <c r="AK94" s="81"/>
    </row>
    <row r="95" spans="23:37" s="49" customFormat="1" x14ac:dyDescent="0.35">
      <c r="AC95" s="424"/>
      <c r="AD95" s="424"/>
      <c r="AE95" s="424"/>
      <c r="AF95" s="424"/>
      <c r="AG95" s="564"/>
      <c r="AH95" s="564"/>
      <c r="AI95" s="564"/>
      <c r="AK95" s="81"/>
    </row>
    <row r="96" spans="23:37" s="49" customFormat="1" x14ac:dyDescent="0.35">
      <c r="AC96" s="424"/>
      <c r="AD96" s="424"/>
      <c r="AE96" s="424"/>
      <c r="AF96" s="424"/>
      <c r="AG96" s="564"/>
      <c r="AH96" s="564"/>
      <c r="AI96" s="564"/>
      <c r="AK96" s="81"/>
    </row>
    <row r="97" spans="29:37" s="49" customFormat="1" x14ac:dyDescent="0.35">
      <c r="AC97" s="424"/>
      <c r="AD97" s="424"/>
      <c r="AE97" s="424"/>
      <c r="AF97" s="424"/>
      <c r="AG97" s="564"/>
      <c r="AH97" s="564"/>
      <c r="AI97" s="564"/>
      <c r="AK97" s="81"/>
    </row>
    <row r="98" spans="29:37" s="49" customFormat="1" x14ac:dyDescent="0.35">
      <c r="AC98" s="424"/>
      <c r="AD98" s="424"/>
      <c r="AE98" s="424"/>
      <c r="AF98" s="424"/>
      <c r="AG98" s="564"/>
      <c r="AH98" s="564"/>
      <c r="AI98" s="564"/>
      <c r="AK98" s="81"/>
    </row>
    <row r="99" spans="29:37" s="49" customFormat="1" x14ac:dyDescent="0.35">
      <c r="AC99" s="424"/>
      <c r="AD99" s="424"/>
      <c r="AE99" s="424"/>
      <c r="AF99" s="424"/>
      <c r="AG99" s="564"/>
      <c r="AH99" s="564"/>
      <c r="AI99" s="564"/>
      <c r="AK99" s="81"/>
    </row>
    <row r="100" spans="29:37" s="49" customFormat="1" x14ac:dyDescent="0.35">
      <c r="AC100" s="424"/>
      <c r="AD100" s="424"/>
      <c r="AE100" s="424"/>
      <c r="AF100" s="424"/>
      <c r="AG100" s="564"/>
      <c r="AH100" s="564"/>
      <c r="AI100" s="564"/>
      <c r="AK100" s="81"/>
    </row>
    <row r="101" spans="29:37" s="49" customFormat="1" x14ac:dyDescent="0.35">
      <c r="AC101" s="424"/>
      <c r="AD101" s="424"/>
      <c r="AE101" s="424"/>
      <c r="AF101" s="424"/>
      <c r="AG101" s="564"/>
      <c r="AH101" s="564"/>
      <c r="AI101" s="564"/>
      <c r="AK101" s="81"/>
    </row>
    <row r="102" spans="29:37" s="49" customFormat="1" x14ac:dyDescent="0.35">
      <c r="AC102" s="424"/>
      <c r="AD102" s="424"/>
      <c r="AE102" s="424"/>
      <c r="AF102" s="424"/>
      <c r="AG102" s="564"/>
      <c r="AH102" s="564"/>
      <c r="AI102" s="564"/>
      <c r="AK102" s="81"/>
    </row>
    <row r="103" spans="29:37" s="49" customFormat="1" x14ac:dyDescent="0.35">
      <c r="AC103" s="424"/>
      <c r="AD103" s="424"/>
      <c r="AE103" s="424"/>
      <c r="AF103" s="424"/>
      <c r="AG103" s="564"/>
      <c r="AH103" s="564"/>
      <c r="AI103" s="564"/>
      <c r="AK103" s="81"/>
    </row>
    <row r="104" spans="29:37" s="49" customFormat="1" x14ac:dyDescent="0.35">
      <c r="AC104" s="424"/>
      <c r="AD104" s="424"/>
      <c r="AE104" s="424"/>
      <c r="AF104" s="424"/>
      <c r="AG104" s="564"/>
      <c r="AH104" s="564"/>
      <c r="AI104" s="564"/>
      <c r="AK104" s="81"/>
    </row>
    <row r="105" spans="29:37" s="49" customFormat="1" x14ac:dyDescent="0.35">
      <c r="AC105" s="424"/>
      <c r="AD105" s="424"/>
      <c r="AE105" s="424"/>
      <c r="AF105" s="424"/>
      <c r="AG105" s="564"/>
      <c r="AH105" s="564"/>
      <c r="AI105" s="564"/>
      <c r="AK105" s="81"/>
    </row>
    <row r="106" spans="29:37" s="49" customFormat="1" x14ac:dyDescent="0.35">
      <c r="AC106" s="424"/>
      <c r="AD106" s="424"/>
      <c r="AE106" s="424"/>
      <c r="AF106" s="424"/>
      <c r="AG106" s="564"/>
      <c r="AH106" s="564"/>
      <c r="AI106" s="564"/>
      <c r="AK106" s="81"/>
    </row>
    <row r="107" spans="29:37" s="49" customFormat="1" x14ac:dyDescent="0.35">
      <c r="AC107" s="424"/>
      <c r="AD107" s="424"/>
      <c r="AE107" s="424"/>
      <c r="AF107" s="424"/>
      <c r="AG107" s="564"/>
      <c r="AH107" s="564"/>
      <c r="AI107" s="564"/>
      <c r="AK107" s="81"/>
    </row>
    <row r="108" spans="29:37" s="49" customFormat="1" x14ac:dyDescent="0.35">
      <c r="AC108" s="424"/>
      <c r="AD108" s="424"/>
      <c r="AE108" s="424"/>
      <c r="AF108" s="424"/>
      <c r="AG108" s="564"/>
      <c r="AH108" s="564"/>
      <c r="AI108" s="564"/>
      <c r="AK108" s="81"/>
    </row>
    <row r="109" spans="29:37" s="49" customFormat="1" x14ac:dyDescent="0.35">
      <c r="AC109" s="424"/>
      <c r="AD109" s="424"/>
      <c r="AE109" s="424"/>
      <c r="AF109" s="424"/>
      <c r="AG109" s="564"/>
      <c r="AH109" s="564"/>
      <c r="AI109" s="564"/>
      <c r="AK109" s="81"/>
    </row>
    <row r="110" spans="29:37" s="49" customFormat="1" x14ac:dyDescent="0.35">
      <c r="AC110" s="424"/>
      <c r="AD110" s="424"/>
      <c r="AE110" s="424"/>
      <c r="AF110" s="424"/>
      <c r="AG110" s="564"/>
      <c r="AH110" s="564"/>
      <c r="AI110" s="564"/>
      <c r="AK110" s="81"/>
    </row>
    <row r="111" spans="29:37" s="49" customFormat="1" x14ac:dyDescent="0.35">
      <c r="AC111" s="424"/>
      <c r="AD111" s="424"/>
      <c r="AE111" s="424"/>
      <c r="AF111" s="424"/>
      <c r="AG111" s="564"/>
      <c r="AH111" s="564"/>
      <c r="AI111" s="564"/>
      <c r="AK111" s="81"/>
    </row>
    <row r="112" spans="29:37" s="49" customFormat="1" x14ac:dyDescent="0.35">
      <c r="AC112" s="424"/>
      <c r="AD112" s="424"/>
      <c r="AE112" s="424"/>
      <c r="AF112" s="424"/>
      <c r="AG112" s="564"/>
      <c r="AH112" s="564"/>
      <c r="AI112" s="564"/>
      <c r="AK112" s="81"/>
    </row>
    <row r="113" spans="2:40" s="49" customFormat="1" x14ac:dyDescent="0.35">
      <c r="AC113" s="424"/>
      <c r="AD113" s="424"/>
      <c r="AE113" s="424"/>
      <c r="AF113" s="424"/>
      <c r="AG113" s="564"/>
      <c r="AH113" s="564"/>
      <c r="AI113" s="564"/>
      <c r="AK113" s="81"/>
    </row>
    <row r="114" spans="2:40" s="49" customFormat="1" x14ac:dyDescent="0.35">
      <c r="AC114" s="424"/>
      <c r="AD114" s="424"/>
      <c r="AE114" s="424"/>
      <c r="AF114" s="424"/>
      <c r="AG114" s="564"/>
      <c r="AH114" s="564"/>
      <c r="AI114" s="564"/>
      <c r="AK114" s="81"/>
    </row>
    <row r="115" spans="2:40" s="49" customFormat="1" x14ac:dyDescent="0.35">
      <c r="AC115" s="424"/>
      <c r="AD115" s="424"/>
      <c r="AE115" s="424"/>
      <c r="AF115" s="424"/>
      <c r="AG115" s="564"/>
      <c r="AH115" s="564"/>
      <c r="AI115" s="564"/>
      <c r="AK115" s="81"/>
    </row>
    <row r="116" spans="2:40" s="49" customFormat="1" x14ac:dyDescent="0.35">
      <c r="AC116" s="424"/>
      <c r="AD116" s="424"/>
      <c r="AE116" s="424"/>
      <c r="AF116" s="424"/>
      <c r="AG116" s="564"/>
      <c r="AH116" s="564"/>
      <c r="AI116" s="564"/>
      <c r="AK116" s="81"/>
    </row>
    <row r="117" spans="2:40" s="49" customFormat="1" x14ac:dyDescent="0.35">
      <c r="AC117" s="424"/>
      <c r="AD117" s="424"/>
      <c r="AE117" s="424"/>
      <c r="AF117" s="424"/>
      <c r="AG117" s="564"/>
      <c r="AH117" s="564"/>
      <c r="AI117" s="564"/>
      <c r="AK117" s="81"/>
    </row>
    <row r="118" spans="2:40" s="49" customFormat="1" x14ac:dyDescent="0.35">
      <c r="AC118" s="424"/>
      <c r="AD118" s="424"/>
      <c r="AE118" s="424"/>
      <c r="AF118" s="424"/>
      <c r="AG118" s="564"/>
      <c r="AH118" s="564"/>
      <c r="AI118" s="564"/>
      <c r="AK118" s="81"/>
    </row>
    <row r="119" spans="2:40" s="49" customFormat="1" x14ac:dyDescent="0.35">
      <c r="AC119" s="424"/>
      <c r="AD119" s="424"/>
      <c r="AE119" s="424"/>
      <c r="AF119" s="424"/>
      <c r="AG119" s="564"/>
      <c r="AH119" s="564"/>
      <c r="AI119" s="564"/>
      <c r="AK119" s="81"/>
    </row>
    <row r="120" spans="2:40" s="49" customFormat="1" x14ac:dyDescent="0.35">
      <c r="AC120" s="424"/>
      <c r="AD120" s="424"/>
      <c r="AE120" s="424"/>
      <c r="AF120" s="424"/>
      <c r="AG120" s="564"/>
      <c r="AH120" s="564"/>
      <c r="AI120" s="564"/>
      <c r="AK120" s="81"/>
    </row>
    <row r="121" spans="2:40" s="49" customFormat="1" x14ac:dyDescent="0.35">
      <c r="AC121" s="424"/>
      <c r="AD121" s="424"/>
      <c r="AE121" s="424"/>
      <c r="AF121" s="424"/>
      <c r="AG121" s="564"/>
      <c r="AH121" s="564"/>
      <c r="AI121" s="564"/>
      <c r="AK121" s="81"/>
    </row>
    <row r="122" spans="2:40" x14ac:dyDescent="0.35">
      <c r="B122" s="49"/>
      <c r="C122" s="49"/>
      <c r="D122" s="49"/>
      <c r="E122" s="49"/>
      <c r="F122" s="49"/>
      <c r="G122" s="49"/>
      <c r="H122" s="49"/>
      <c r="I122" s="49"/>
      <c r="K122" s="49"/>
      <c r="L122" s="49"/>
      <c r="M122" s="49"/>
      <c r="N122" s="49"/>
      <c r="O122" s="49"/>
      <c r="P122" s="49"/>
      <c r="Q122" s="49"/>
      <c r="S122" s="49"/>
      <c r="T122" s="49"/>
      <c r="U122" s="49"/>
      <c r="V122" s="49"/>
      <c r="W122" s="49"/>
      <c r="X122" s="49"/>
      <c r="Y122" s="49"/>
      <c r="Z122" s="49"/>
      <c r="AA122" s="49"/>
      <c r="AK122" s="81"/>
      <c r="AL122" s="49"/>
      <c r="AN122" s="49"/>
    </row>
    <row r="123" spans="2:40" x14ac:dyDescent="0.35">
      <c r="B123" s="49"/>
      <c r="C123" s="49"/>
      <c r="D123" s="49"/>
      <c r="E123" s="49"/>
      <c r="F123" s="49"/>
      <c r="G123" s="49"/>
      <c r="H123" s="49"/>
      <c r="I123" s="49"/>
      <c r="K123" s="49"/>
      <c r="L123" s="49"/>
      <c r="M123" s="49"/>
      <c r="N123" s="49"/>
      <c r="O123" s="49"/>
      <c r="P123" s="49"/>
      <c r="Q123" s="49"/>
      <c r="S123" s="49"/>
      <c r="T123" s="49"/>
      <c r="U123" s="49"/>
      <c r="V123" s="49"/>
      <c r="W123" s="49"/>
      <c r="X123" s="49"/>
      <c r="Y123" s="49"/>
      <c r="Z123" s="49"/>
      <c r="AA123" s="49"/>
    </row>
    <row r="124" spans="2:40" x14ac:dyDescent="0.35">
      <c r="B124" s="49"/>
      <c r="C124" s="49"/>
      <c r="D124" s="49"/>
      <c r="E124" s="49"/>
      <c r="F124" s="49"/>
      <c r="G124" s="49"/>
      <c r="H124" s="49"/>
      <c r="I124" s="49"/>
    </row>
  </sheetData>
  <sheetProtection algorithmName="SHA-512" hashValue="kLVTEYaY6wjOTtyuBV2fNd77ADv0hWYZ1bhnQDsndMX8GUn4mE7z1sVjGG9FGZKu14p+qDXw1dD5WTBTPX9Ryg==" saltValue="/1gMewVc/qe60JngIW1zEA==" spinCount="100000" sheet="1" objects="1" scenarios="1"/>
  <mergeCells count="14">
    <mergeCell ref="K24:L24"/>
    <mergeCell ref="K25:L25"/>
    <mergeCell ref="K26:L26"/>
    <mergeCell ref="C9:D9"/>
    <mergeCell ref="C10:D10"/>
    <mergeCell ref="C11:D11"/>
    <mergeCell ref="K21:L21"/>
    <mergeCell ref="K22:L22"/>
    <mergeCell ref="K23:L23"/>
    <mergeCell ref="C8:D8"/>
    <mergeCell ref="AA3:AA6"/>
    <mergeCell ref="C5:D5"/>
    <mergeCell ref="C6:D6"/>
    <mergeCell ref="C7:D7"/>
  </mergeCells>
  <conditionalFormatting sqref="AL29 AL33:AL34 AL41 AL43:AL45">
    <cfRule type="containsText" dxfId="887" priority="196" operator="containsText" text="suurem">
      <formula>NOT(ISERROR(SEARCH("suurem",AL29)))</formula>
    </cfRule>
  </conditionalFormatting>
  <conditionalFormatting sqref="AL29 AL33:AL34 AL41 AL43:AL45">
    <cfRule type="containsText" dxfId="886" priority="195" operator="containsText" text="pienempi">
      <formula>NOT(ISERROR(SEARCH("pienempi",AL29)))</formula>
    </cfRule>
  </conditionalFormatting>
  <conditionalFormatting sqref="H5:H11">
    <cfRule type="dataBar" priority="194">
      <dataBar>
        <cfvo type="min"/>
        <cfvo type="max"/>
        <color rgb="FF63C384"/>
      </dataBar>
      <extLst>
        <ext xmlns:x14="http://schemas.microsoft.com/office/spreadsheetml/2009/9/main" uri="{B025F937-C7B1-47D3-B67F-A62EFF666E3E}">
          <x14:id>{5163F888-C90B-4568-8CCE-E2CCED90B4AF}</x14:id>
        </ext>
      </extLst>
    </cfRule>
  </conditionalFormatting>
  <conditionalFormatting sqref="P3">
    <cfRule type="containsText" dxfId="885" priority="193" operator="containsText" text="Tarkista">
      <formula>NOT(ISERROR(SEARCH("Tarkista",P3)))</formula>
    </cfRule>
  </conditionalFormatting>
  <conditionalFormatting sqref="AL14:AL42">
    <cfRule type="containsText" dxfId="884" priority="172" operator="containsText" text="suurem">
      <formula>NOT(ISERROR(SEARCH("suurem",AL14)))</formula>
    </cfRule>
  </conditionalFormatting>
  <conditionalFormatting sqref="AL14:AL42">
    <cfRule type="containsText" dxfId="883" priority="171" operator="containsText" text="pienempi">
      <formula>NOT(ISERROR(SEARCH("pienempi",AL14)))</formula>
    </cfRule>
  </conditionalFormatting>
  <conditionalFormatting sqref="AL14:AL42">
    <cfRule type="containsText" dxfId="882" priority="170" operator="containsText" text="pienemmät">
      <formula>NOT(ISERROR(SEARCH("pienemmät",AL14)))</formula>
    </cfRule>
  </conditionalFormatting>
  <conditionalFormatting sqref="AL15:AL24 AL27:AL28">
    <cfRule type="containsText" dxfId="881" priority="169" operator="containsText" text="suurem">
      <formula>NOT(ISERROR(SEARCH("suurem",AL15)))</formula>
    </cfRule>
  </conditionalFormatting>
  <conditionalFormatting sqref="AL15:AL24 AL27:AL28">
    <cfRule type="containsText" dxfId="880" priority="168" operator="containsText" text="pienempi">
      <formula>NOT(ISERROR(SEARCH("pienempi",AL15)))</formula>
    </cfRule>
  </conditionalFormatting>
  <conditionalFormatting sqref="AL15:AL24 AL27:AL28">
    <cfRule type="containsText" dxfId="879" priority="167" operator="containsText" text="pienemmät">
      <formula>NOT(ISERROR(SEARCH("pienemmät",AL15)))</formula>
    </cfRule>
  </conditionalFormatting>
  <conditionalFormatting sqref="AL25">
    <cfRule type="containsText" dxfId="878" priority="166" operator="containsText" text="suurem">
      <formula>NOT(ISERROR(SEARCH("suurem",AL25)))</formula>
    </cfRule>
  </conditionalFormatting>
  <conditionalFormatting sqref="AL25">
    <cfRule type="containsText" dxfId="877" priority="165" operator="containsText" text="pienempi">
      <formula>NOT(ISERROR(SEARCH("pienempi",AL25)))</formula>
    </cfRule>
  </conditionalFormatting>
  <conditionalFormatting sqref="AL25">
    <cfRule type="containsText" dxfId="876" priority="164" operator="containsText" text="pienemmät">
      <formula>NOT(ISERROR(SEARCH("pienemmät",AL25)))</formula>
    </cfRule>
  </conditionalFormatting>
  <conditionalFormatting sqref="AL26">
    <cfRule type="containsText" dxfId="875" priority="163" operator="containsText" text="suurem">
      <formula>NOT(ISERROR(SEARCH("suurem",AL26)))</formula>
    </cfRule>
  </conditionalFormatting>
  <conditionalFormatting sqref="AL26">
    <cfRule type="containsText" dxfId="874" priority="162" operator="containsText" text="pienempi">
      <formula>NOT(ISERROR(SEARCH("pienempi",AL26)))</formula>
    </cfRule>
  </conditionalFormatting>
  <conditionalFormatting sqref="AL26">
    <cfRule type="containsText" dxfId="873" priority="161" operator="containsText" text="pienemmät">
      <formula>NOT(ISERROR(SEARCH("pienemmät",AL26)))</formula>
    </cfRule>
  </conditionalFormatting>
  <conditionalFormatting sqref="AL30:AL32">
    <cfRule type="containsText" dxfId="872" priority="160" operator="containsText" text="suurem">
      <formula>NOT(ISERROR(SEARCH("suurem",AL30)))</formula>
    </cfRule>
  </conditionalFormatting>
  <conditionalFormatting sqref="AL30:AL32">
    <cfRule type="containsText" dxfId="871" priority="159" operator="containsText" text="pienempi">
      <formula>NOT(ISERROR(SEARCH("pienempi",AL30)))</formula>
    </cfRule>
  </conditionalFormatting>
  <conditionalFormatting sqref="AL30:AL32">
    <cfRule type="containsText" dxfId="870" priority="158" operator="containsText" text="pienemmät">
      <formula>NOT(ISERROR(SEARCH("pienemmät",AL30)))</formula>
    </cfRule>
  </conditionalFormatting>
  <conditionalFormatting sqref="AL35:AL37">
    <cfRule type="containsText" dxfId="869" priority="157" operator="containsText" text="suurem">
      <formula>NOT(ISERROR(SEARCH("suurem",AL35)))</formula>
    </cfRule>
  </conditionalFormatting>
  <conditionalFormatting sqref="AL35:AL37">
    <cfRule type="containsText" dxfId="868" priority="156" operator="containsText" text="pienempi">
      <formula>NOT(ISERROR(SEARCH("pienempi",AL35)))</formula>
    </cfRule>
  </conditionalFormatting>
  <conditionalFormatting sqref="AL35:AL37">
    <cfRule type="containsText" dxfId="867" priority="155" operator="containsText" text="pienemmät">
      <formula>NOT(ISERROR(SEARCH("pienemmät",AL35)))</formula>
    </cfRule>
  </conditionalFormatting>
  <conditionalFormatting sqref="AL40">
    <cfRule type="containsText" dxfId="866" priority="154" operator="containsText" text="suurem">
      <formula>NOT(ISERROR(SEARCH("suurem",AL40)))</formula>
    </cfRule>
  </conditionalFormatting>
  <conditionalFormatting sqref="AL40">
    <cfRule type="containsText" dxfId="865" priority="153" operator="containsText" text="pienempi">
      <formula>NOT(ISERROR(SEARCH("pienempi",AL40)))</formula>
    </cfRule>
  </conditionalFormatting>
  <conditionalFormatting sqref="AL40">
    <cfRule type="containsText" dxfId="864" priority="152" operator="containsText" text="pienemmät">
      <formula>NOT(ISERROR(SEARCH("pienemmät",AL40)))</formula>
    </cfRule>
  </conditionalFormatting>
  <conditionalFormatting sqref="AL38:AL39">
    <cfRule type="containsText" dxfId="863" priority="151" operator="containsText" text="suurem">
      <formula>NOT(ISERROR(SEARCH("suurem",AL38)))</formula>
    </cfRule>
  </conditionalFormatting>
  <conditionalFormatting sqref="AL38:AL39">
    <cfRule type="containsText" dxfId="862" priority="150" operator="containsText" text="pienempi">
      <formula>NOT(ISERROR(SEARCH("pienempi",AL38)))</formula>
    </cfRule>
  </conditionalFormatting>
  <conditionalFormatting sqref="AL38:AL39">
    <cfRule type="containsText" dxfId="861" priority="149" operator="containsText" text="pienemmät">
      <formula>NOT(ISERROR(SEARCH("pienemmät",AL38)))</formula>
    </cfRule>
  </conditionalFormatting>
  <conditionalFormatting sqref="AL42">
    <cfRule type="containsText" dxfId="860" priority="148" operator="containsText" text="suurem">
      <formula>NOT(ISERROR(SEARCH("suurem",AL42)))</formula>
    </cfRule>
  </conditionalFormatting>
  <conditionalFormatting sqref="AL42">
    <cfRule type="containsText" dxfId="859" priority="147" operator="containsText" text="pienempi">
      <formula>NOT(ISERROR(SEARCH("pienempi",AL42)))</formula>
    </cfRule>
  </conditionalFormatting>
  <conditionalFormatting sqref="AL42">
    <cfRule type="containsText" dxfId="858" priority="146" operator="containsText" text="pienemmät">
      <formula>NOT(ISERROR(SEARCH("pienemmät",AL42)))</formula>
    </cfRule>
  </conditionalFormatting>
  <conditionalFormatting sqref="A1:AG2 AB3:AG8 V6:AA7 AO3:XFD8 A4:R4 A5:M5 O5:R5 A43:P43 R43:U43 A19:U38 F39:U39 A41:U42 A44:U44 A45:AG68 A69:V74 AB69:AG74 A75:AG1048576 V9:AG10 AJ3:AJ8 AJ1:XFD2 AB29:AG29 AB33:AG34 AB30:AF32 AB41:AG41 AB43:AG44 AB42:AF42 AJ9:XFD10 A13:L13 AG13 AB14:AG15 AB35:AF40 AB16:AF28 A3 J3:R3 A12:AG12 A14 J14:L14 A6:R11 AB11:AG11 AJ12:XFD1048576 AJ11 AO11:XFD11 A39:A40 E40:U40 N13:AE13 A15:L18 N14:U18">
    <cfRule type="cellIs" dxfId="857" priority="141" operator="lessThan">
      <formula>0</formula>
    </cfRule>
  </conditionalFormatting>
  <conditionalFormatting sqref="S3 U3:AA3 V4:AA5 V8:AA8">
    <cfRule type="cellIs" dxfId="856" priority="140" operator="lessThan">
      <formula>0</formula>
    </cfRule>
  </conditionalFormatting>
  <conditionalFormatting sqref="AK3:AN8">
    <cfRule type="cellIs" dxfId="855" priority="138" operator="lessThan">
      <formula>0</formula>
    </cfRule>
  </conditionalFormatting>
  <conditionalFormatting sqref="N5">
    <cfRule type="cellIs" dxfId="854" priority="137" operator="lessThan">
      <formula>0</formula>
    </cfRule>
  </conditionalFormatting>
  <conditionalFormatting sqref="Q43">
    <cfRule type="cellIs" dxfId="853" priority="136" operator="lessThan">
      <formula>0</formula>
    </cfRule>
  </conditionalFormatting>
  <conditionalFormatting sqref="W15:W28">
    <cfRule type="top10" dxfId="852" priority="103" percent="1" bottom="1" rank="10"/>
    <cfRule type="top10" dxfId="851" priority="104" percent="1" rank="10"/>
  </conditionalFormatting>
  <conditionalFormatting sqref="W31:W32">
    <cfRule type="top10" dxfId="850" priority="101" percent="1" bottom="1" rank="10"/>
    <cfRule type="top10" dxfId="849" priority="102" percent="1" rank="10"/>
  </conditionalFormatting>
  <conditionalFormatting sqref="W36:W40">
    <cfRule type="top10" dxfId="848" priority="99" percent="1" bottom="1" rank="10"/>
    <cfRule type="top10" dxfId="847" priority="100" percent="1" rank="10"/>
  </conditionalFormatting>
  <conditionalFormatting sqref="W14:W40">
    <cfRule type="cellIs" dxfId="846" priority="98" operator="lessThan">
      <formula>0</formula>
    </cfRule>
  </conditionalFormatting>
  <conditionalFormatting sqref="V15:V28 V31:V32 V36:V40">
    <cfRule type="dataBar" priority="97">
      <dataBar>
        <cfvo type="min"/>
        <cfvo type="max"/>
        <color rgb="FF638EC6"/>
      </dataBar>
      <extLst>
        <ext xmlns:x14="http://schemas.microsoft.com/office/spreadsheetml/2009/9/main" uri="{B025F937-C7B1-47D3-B67F-A62EFF666E3E}">
          <x14:id>{97B3EB78-2D41-4A65-AF8B-617A8E3E6CC4}</x14:id>
        </ext>
      </extLst>
    </cfRule>
  </conditionalFormatting>
  <conditionalFormatting sqref="V14:V40">
    <cfRule type="cellIs" dxfId="845" priority="96" operator="lessThan">
      <formula>0</formula>
    </cfRule>
  </conditionalFormatting>
  <conditionalFormatting sqref="W31:W32">
    <cfRule type="top10" dxfId="844" priority="94" percent="1" bottom="1" rank="10"/>
    <cfRule type="top10" dxfId="843" priority="95" percent="1" rank="10"/>
  </conditionalFormatting>
  <conditionalFormatting sqref="W36:W40">
    <cfRule type="top10" dxfId="842" priority="92" percent="1" bottom="1" rank="10"/>
    <cfRule type="top10" dxfId="841" priority="93" percent="1" rank="10"/>
  </conditionalFormatting>
  <conditionalFormatting sqref="W41">
    <cfRule type="top10" dxfId="840" priority="122" rank="4"/>
  </conditionalFormatting>
  <conditionalFormatting sqref="X15:X28 X31:X32 X36:X40">
    <cfRule type="dataBar" priority="121">
      <dataBar>
        <cfvo type="min"/>
        <cfvo type="max"/>
        <color rgb="FF638EC6"/>
      </dataBar>
      <extLst>
        <ext xmlns:x14="http://schemas.microsoft.com/office/spreadsheetml/2009/9/main" uri="{B025F937-C7B1-47D3-B67F-A62EFF666E3E}">
          <x14:id>{103EE1FC-3353-4178-8BDB-68778058D70A}</x14:id>
        </ext>
      </extLst>
    </cfRule>
  </conditionalFormatting>
  <conditionalFormatting sqref="Y41">
    <cfRule type="top10" dxfId="839" priority="120" rank="4"/>
  </conditionalFormatting>
  <conditionalFormatting sqref="Y15:Y28">
    <cfRule type="top10" dxfId="838" priority="118" percent="1" bottom="1" rank="10"/>
    <cfRule type="top10" dxfId="837" priority="119" percent="1" rank="10"/>
  </conditionalFormatting>
  <conditionalFormatting sqref="Y31:Y32">
    <cfRule type="top10" dxfId="836" priority="116" percent="1" bottom="1" rank="10"/>
    <cfRule type="top10" dxfId="835" priority="117" percent="1" rank="10"/>
  </conditionalFormatting>
  <conditionalFormatting sqref="Y36:Y40">
    <cfRule type="top10" dxfId="834" priority="114" percent="1" bottom="1" rank="10"/>
    <cfRule type="top10" dxfId="833" priority="115" percent="1" rank="10"/>
  </conditionalFormatting>
  <conditionalFormatting sqref="Z15:Z28 Z31:Z32 Z36:Z40">
    <cfRule type="dataBar" priority="113">
      <dataBar>
        <cfvo type="min"/>
        <cfvo type="max"/>
        <color rgb="FF638EC6"/>
      </dataBar>
      <extLst>
        <ext xmlns:x14="http://schemas.microsoft.com/office/spreadsheetml/2009/9/main" uri="{B025F937-C7B1-47D3-B67F-A62EFF666E3E}">
          <x14:id>{FDE8D42F-7F70-4127-B29F-B2E084E9A2C3}</x14:id>
        </ext>
      </extLst>
    </cfRule>
  </conditionalFormatting>
  <conditionalFormatting sqref="AA41">
    <cfRule type="top10" dxfId="832" priority="112" rank="4"/>
  </conditionalFormatting>
  <conditionalFormatting sqref="V41:AA44 X15:Z29 X14 Z14 X31:Z34 X30 Z30 X36:Z40 X35 Z35">
    <cfRule type="cellIs" dxfId="831" priority="105" operator="lessThan">
      <formula>0</formula>
    </cfRule>
  </conditionalFormatting>
  <conditionalFormatting sqref="AG42">
    <cfRule type="cellIs" dxfId="830" priority="49" operator="lessThan">
      <formula>0</formula>
    </cfRule>
  </conditionalFormatting>
  <conditionalFormatting sqref="AH1:AH12 AH43:AH1048576">
    <cfRule type="cellIs" dxfId="829" priority="86" operator="lessThan">
      <formula>0</formula>
    </cfRule>
  </conditionalFormatting>
  <conditionalFormatting sqref="AH29 AH33:AH34 AH41 AH14:AH15">
    <cfRule type="cellIs" dxfId="828" priority="85" operator="lessThan">
      <formula>0</formula>
    </cfRule>
  </conditionalFormatting>
  <conditionalFormatting sqref="AH30:AH31">
    <cfRule type="cellIs" dxfId="827" priority="52" operator="lessThan">
      <formula>0</formula>
    </cfRule>
  </conditionalFormatting>
  <conditionalFormatting sqref="AG38:AG39">
    <cfRule type="cellIs" dxfId="826" priority="51" operator="lessThan">
      <formula>0</formula>
    </cfRule>
  </conditionalFormatting>
  <conditionalFormatting sqref="AH38:AH39">
    <cfRule type="cellIs" dxfId="825" priority="50" operator="lessThan">
      <formula>0</formula>
    </cfRule>
  </conditionalFormatting>
  <conditionalFormatting sqref="AG25:AG26">
    <cfRule type="cellIs" dxfId="824" priority="47" operator="lessThan">
      <formula>0</formula>
    </cfRule>
  </conditionalFormatting>
  <conditionalFormatting sqref="AH42">
    <cfRule type="cellIs" dxfId="823" priority="48" operator="lessThan">
      <formula>0</formula>
    </cfRule>
  </conditionalFormatting>
  <conditionalFormatting sqref="AH13">
    <cfRule type="cellIs" dxfId="822" priority="74" operator="lessThan">
      <formula>0</formula>
    </cfRule>
  </conditionalFormatting>
  <conditionalFormatting sqref="AG32">
    <cfRule type="cellIs" dxfId="821" priority="59" operator="lessThan">
      <formula>0</formula>
    </cfRule>
  </conditionalFormatting>
  <conditionalFormatting sqref="AH32">
    <cfRule type="cellIs" dxfId="820" priority="58" operator="lessThan">
      <formula>0</formula>
    </cfRule>
  </conditionalFormatting>
  <conditionalFormatting sqref="AG16:AG24">
    <cfRule type="cellIs" dxfId="819" priority="57" operator="lessThan">
      <formula>0</formula>
    </cfRule>
  </conditionalFormatting>
  <conditionalFormatting sqref="AH16:AH24">
    <cfRule type="cellIs" dxfId="818" priority="56" operator="lessThan">
      <formula>0</formula>
    </cfRule>
  </conditionalFormatting>
  <conditionalFormatting sqref="AG27:AG28">
    <cfRule type="cellIs" dxfId="817" priority="55" operator="lessThan">
      <formula>0</formula>
    </cfRule>
  </conditionalFormatting>
  <conditionalFormatting sqref="AH27:AH28">
    <cfRule type="cellIs" dxfId="816" priority="54" operator="lessThan">
      <formula>0</formula>
    </cfRule>
  </conditionalFormatting>
  <conditionalFormatting sqref="AG30:AG31">
    <cfRule type="cellIs" dxfId="815" priority="53" operator="lessThan">
      <formula>0</formula>
    </cfRule>
  </conditionalFormatting>
  <conditionalFormatting sqref="AH25:AH26">
    <cfRule type="cellIs" dxfId="814" priority="46" operator="lessThan">
      <formula>0</formula>
    </cfRule>
  </conditionalFormatting>
  <conditionalFormatting sqref="AG35:AG37">
    <cfRule type="cellIs" dxfId="813" priority="45" operator="lessThan">
      <formula>0</formula>
    </cfRule>
  </conditionalFormatting>
  <conditionalFormatting sqref="AH35:AH37">
    <cfRule type="cellIs" dxfId="812" priority="44" operator="lessThan">
      <formula>0</formula>
    </cfRule>
  </conditionalFormatting>
  <conditionalFormatting sqref="AG40">
    <cfRule type="cellIs" dxfId="811" priority="43" operator="lessThan">
      <formula>0</formula>
    </cfRule>
  </conditionalFormatting>
  <conditionalFormatting sqref="AH40">
    <cfRule type="cellIs" dxfId="810" priority="42" operator="lessThan">
      <formula>0</formula>
    </cfRule>
  </conditionalFormatting>
  <conditionalFormatting sqref="AI1:AI12 AI14:AI1048576">
    <cfRule type="cellIs" dxfId="809" priority="41" operator="lessThan">
      <formula>0</formula>
    </cfRule>
  </conditionalFormatting>
  <conditionalFormatting sqref="AI13">
    <cfRule type="cellIs" dxfId="808" priority="40" operator="lessThan">
      <formula>0</formula>
    </cfRule>
  </conditionalFormatting>
  <conditionalFormatting sqref="B3:I3">
    <cfRule type="cellIs" dxfId="807" priority="39" operator="lessThan">
      <formula>0</formula>
    </cfRule>
  </conditionalFormatting>
  <conditionalFormatting sqref="B39:D40">
    <cfRule type="cellIs" dxfId="806" priority="33" operator="lessThan">
      <formula>0</formula>
    </cfRule>
  </conditionalFormatting>
  <conditionalFormatting sqref="P11">
    <cfRule type="containsText" dxfId="805" priority="38" operator="containsText" text="Tarkista">
      <formula>NOT(ISERROR(SEARCH("Tarkista",P11)))</formula>
    </cfRule>
  </conditionalFormatting>
  <conditionalFormatting sqref="B14:H14">
    <cfRule type="cellIs" dxfId="804" priority="37" operator="lessThan">
      <formula>0</formula>
    </cfRule>
  </conditionalFormatting>
  <conditionalFormatting sqref="I14">
    <cfRule type="cellIs" dxfId="803" priority="36" operator="lessThan">
      <formula>0</formula>
    </cfRule>
  </conditionalFormatting>
  <conditionalFormatting sqref="S11:AA11">
    <cfRule type="cellIs" dxfId="802" priority="35" operator="lessThan">
      <formula>0</formula>
    </cfRule>
  </conditionalFormatting>
  <conditionalFormatting sqref="AK11:AN11">
    <cfRule type="cellIs" dxfId="801" priority="34" operator="lessThan">
      <formula>0</formula>
    </cfRule>
  </conditionalFormatting>
  <conditionalFormatting sqref="M13:M18">
    <cfRule type="cellIs" dxfId="800" priority="32" operator="lessThan">
      <formula>0</formula>
    </cfRule>
  </conditionalFormatting>
  <conditionalFormatting sqref="Y31:Y32">
    <cfRule type="top10" dxfId="799" priority="30" percent="1" bottom="1" rank="10"/>
    <cfRule type="top10" dxfId="798" priority="31" percent="1" rank="10"/>
  </conditionalFormatting>
  <conditionalFormatting sqref="Y36:Y40">
    <cfRule type="top10" dxfId="797" priority="28" percent="1" bottom="1" rank="10"/>
    <cfRule type="top10" dxfId="796" priority="29" percent="1" rank="10"/>
  </conditionalFormatting>
  <conditionalFormatting sqref="Y14">
    <cfRule type="cellIs" dxfId="795" priority="27" operator="lessThan">
      <formula>0</formula>
    </cfRule>
  </conditionalFormatting>
  <conditionalFormatting sqref="Y30">
    <cfRule type="cellIs" dxfId="794" priority="26" operator="lessThan">
      <formula>0</formula>
    </cfRule>
  </conditionalFormatting>
  <conditionalFormatting sqref="Y35">
    <cfRule type="cellIs" dxfId="793" priority="25" operator="lessThan">
      <formula>0</formula>
    </cfRule>
  </conditionalFormatting>
  <conditionalFormatting sqref="AA15:AA28">
    <cfRule type="top10" dxfId="792" priority="23" percent="1" bottom="1" rank="10"/>
    <cfRule type="top10" dxfId="791" priority="24" percent="1" rank="10"/>
  </conditionalFormatting>
  <conditionalFormatting sqref="AA31:AA32">
    <cfRule type="top10" dxfId="790" priority="21" percent="1" bottom="1" rank="10"/>
    <cfRule type="top10" dxfId="789" priority="22" percent="1" rank="10"/>
  </conditionalFormatting>
  <conditionalFormatting sqref="AA36:AA40">
    <cfRule type="top10" dxfId="788" priority="19" percent="1" bottom="1" rank="10"/>
    <cfRule type="top10" dxfId="787" priority="20" percent="1" rank="10"/>
  </conditionalFormatting>
  <conditionalFormatting sqref="AA15:AA29 AA31:AA34 AA36:AA40">
    <cfRule type="cellIs" dxfId="786" priority="18" operator="lessThan">
      <formula>0</formula>
    </cfRule>
  </conditionalFormatting>
  <conditionalFormatting sqref="AA31:AA32">
    <cfRule type="top10" dxfId="785" priority="16" percent="1" bottom="1" rank="10"/>
    <cfRule type="top10" dxfId="784" priority="17" percent="1" rank="10"/>
  </conditionalFormatting>
  <conditionalFormatting sqref="AA36:AA40">
    <cfRule type="top10" dxfId="783" priority="14" percent="1" bottom="1" rank="10"/>
    <cfRule type="top10" dxfId="782" priority="15" percent="1" rank="10"/>
  </conditionalFormatting>
  <conditionalFormatting sqref="AA14">
    <cfRule type="cellIs" dxfId="781" priority="13" operator="lessThan">
      <formula>0</formula>
    </cfRule>
  </conditionalFormatting>
  <conditionalFormatting sqref="AA30">
    <cfRule type="cellIs" dxfId="780" priority="12" operator="lessThan">
      <formula>0</formula>
    </cfRule>
  </conditionalFormatting>
  <conditionalFormatting sqref="AA35">
    <cfRule type="cellIs" dxfId="779" priority="11" operator="lessThan">
      <formula>0</formula>
    </cfRule>
  </conditionalFormatting>
  <conditionalFormatting sqref="T8:U8 S6:U7">
    <cfRule type="cellIs" dxfId="778" priority="5" operator="lessThan">
      <formula>0</formula>
    </cfRule>
  </conditionalFormatting>
  <conditionalFormatting sqref="S4:U4 T5:U5">
    <cfRule type="cellIs" dxfId="777" priority="4" operator="lessThan">
      <formula>0</formula>
    </cfRule>
  </conditionalFormatting>
  <conditionalFormatting sqref="S8">
    <cfRule type="cellIs" dxfId="776" priority="3" operator="lessThan">
      <formula>0</formula>
    </cfRule>
  </conditionalFormatting>
  <conditionalFormatting sqref="S9:T9 T10">
    <cfRule type="cellIs" dxfId="775" priority="2" operator="lessThan">
      <formula>0</formula>
    </cfRule>
  </conditionalFormatting>
  <conditionalFormatting sqref="S10 U10">
    <cfRule type="cellIs" dxfId="774" priority="1" operator="lessThan">
      <formula>0</formula>
    </cfRule>
  </conditionalFormatting>
  <pageMargins left="0.7" right="0.7" top="0.75" bottom="0.75" header="0.3" footer="0.3"/>
  <pageSetup paperSize="9" orientation="portrait" horizontalDpi="300" verticalDpi="300" r:id="rId1"/>
  <drawing r:id="rId2"/>
  <legacyDrawing r:id="rId3"/>
  <extLst>
    <ext xmlns:x14="http://schemas.microsoft.com/office/spreadsheetml/2009/9/main" uri="{78C0D931-6437-407d-A8EE-F0AAD7539E65}">
      <x14:conditionalFormattings>
        <x14:conditionalFormatting xmlns:xm="http://schemas.microsoft.com/office/excel/2006/main">
          <x14:cfRule type="dataBar" id="{5163F888-C90B-4568-8CCE-E2CCED90B4AF}">
            <x14:dataBar minLength="0" maxLength="100" border="1" negativeBarBorderColorSameAsPositive="0">
              <x14:cfvo type="autoMin"/>
              <x14:cfvo type="autoMax"/>
              <x14:borderColor rgb="FF63C384"/>
              <x14:negativeFillColor rgb="FFFF0000"/>
              <x14:negativeBorderColor rgb="FFFF0000"/>
              <x14:axisColor rgb="FF000000"/>
            </x14:dataBar>
          </x14:cfRule>
          <xm:sqref>H5:H11</xm:sqref>
        </x14:conditionalFormatting>
        <x14:conditionalFormatting xmlns:xm="http://schemas.microsoft.com/office/excel/2006/main">
          <x14:cfRule type="dataBar" id="{97B3EB78-2D41-4A65-AF8B-617A8E3E6CC4}">
            <x14:dataBar minLength="0" maxLength="100" border="1" negativeBarBorderColorSameAsPositive="0">
              <x14:cfvo type="autoMin"/>
              <x14:cfvo type="autoMax"/>
              <x14:borderColor rgb="FF638EC6"/>
              <x14:negativeFillColor rgb="FFFF0000"/>
              <x14:negativeBorderColor rgb="FFFF0000"/>
              <x14:axisColor rgb="FF000000"/>
            </x14:dataBar>
          </x14:cfRule>
          <xm:sqref>V15:V28 V31:V32 V36:V40</xm:sqref>
        </x14:conditionalFormatting>
        <x14:conditionalFormatting xmlns:xm="http://schemas.microsoft.com/office/excel/2006/main">
          <x14:cfRule type="dataBar" id="{103EE1FC-3353-4178-8BDB-68778058D70A}">
            <x14:dataBar minLength="0" maxLength="100" border="1" negativeBarBorderColorSameAsPositive="0">
              <x14:cfvo type="autoMin"/>
              <x14:cfvo type="autoMax"/>
              <x14:borderColor rgb="FF638EC6"/>
              <x14:negativeFillColor rgb="FFFF0000"/>
              <x14:negativeBorderColor rgb="FFFF0000"/>
              <x14:axisColor rgb="FF000000"/>
            </x14:dataBar>
          </x14:cfRule>
          <xm:sqref>X15:X28 X31:X32 X36:X40</xm:sqref>
        </x14:conditionalFormatting>
        <x14:conditionalFormatting xmlns:xm="http://schemas.microsoft.com/office/excel/2006/main">
          <x14:cfRule type="dataBar" id="{FDE8D42F-7F70-4127-B29F-B2E084E9A2C3}">
            <x14:dataBar minLength="0" maxLength="100" border="1" negativeBarBorderColorSameAsPositive="0">
              <x14:cfvo type="autoMin"/>
              <x14:cfvo type="autoMax"/>
              <x14:borderColor rgb="FF638EC6"/>
              <x14:negativeFillColor rgb="FFFF0000"/>
              <x14:negativeBorderColor rgb="FFFF0000"/>
              <x14:axisColor rgb="FF000000"/>
            </x14:dataBar>
          </x14:cfRule>
          <xm:sqref>Z15:Z28 Z31:Z32 Z36:Z40</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Is_Collaboration_Space_Locked xmlns="fb5979d9-2109-432e-b39b-476dfabaec5a" xsi:nil="true"/>
    <_ip_UnifiedCompliancePolicyUIAction xmlns="http://schemas.microsoft.com/sharepoint/v3" xsi:nil="true"/>
    <Teachers xmlns="fb5979d9-2109-432e-b39b-476dfabaec5a">
      <UserInfo>
        <DisplayName/>
        <AccountId xsi:nil="true"/>
        <AccountType/>
      </UserInfo>
    </Teachers>
    <Students xmlns="fb5979d9-2109-432e-b39b-476dfabaec5a">
      <UserInfo>
        <DisplayName/>
        <AccountId xsi:nil="true"/>
        <AccountType/>
      </UserInfo>
    </Students>
    <Self_Registration_Enabled xmlns="fb5979d9-2109-432e-b39b-476dfabaec5a" xsi:nil="true"/>
    <Invited_Teachers xmlns="fb5979d9-2109-432e-b39b-476dfabaec5a" xsi:nil="true"/>
    <FolderType xmlns="fb5979d9-2109-432e-b39b-476dfabaec5a" xsi:nil="true"/>
    <CultureName xmlns="fb5979d9-2109-432e-b39b-476dfabaec5a" xsi:nil="true"/>
    <Has_Teacher_Only_SectionGroup xmlns="fb5979d9-2109-432e-b39b-476dfabaec5a" xsi:nil="true"/>
    <NotebookType xmlns="fb5979d9-2109-432e-b39b-476dfabaec5a" xsi:nil="true"/>
    <_ip_UnifiedCompliancePolicyProperties xmlns="http://schemas.microsoft.com/sharepoint/v3" xsi:nil="true"/>
    <DefaultSectionNames xmlns="fb5979d9-2109-432e-b39b-476dfabaec5a" xsi:nil="true"/>
    <AppVersion xmlns="fb5979d9-2109-432e-b39b-476dfabaec5a" xsi:nil="true"/>
    <Owner xmlns="fb5979d9-2109-432e-b39b-476dfabaec5a">
      <UserInfo>
        <DisplayName/>
        <AccountId xsi:nil="true"/>
        <AccountType/>
      </UserInfo>
    </Owner>
    <Invited_Students xmlns="fb5979d9-2109-432e-b39b-476dfabaec5a" xsi:nil="true"/>
    <Student_Groups xmlns="fb5979d9-2109-432e-b39b-476dfabaec5a">
      <UserInfo>
        <DisplayName/>
        <AccountId xsi:nil="true"/>
        <AccountType/>
      </UserInfo>
    </Student_Groups>
  </documentManagement>
</p:properties>
</file>

<file path=customXml/item3.xml><?xml version="1.0" encoding="utf-8"?>
<ct:contentTypeSchema xmlns:ct="http://schemas.microsoft.com/office/2006/metadata/contentType" xmlns:ma="http://schemas.microsoft.com/office/2006/metadata/properties/metaAttributes" ct:_="" ma:_="" ma:contentTypeName="Asiakirja" ma:contentTypeID="0x01010066A4579F87CF8142AACB68DFB1293E49" ma:contentTypeVersion="26" ma:contentTypeDescription="Luo uusi asiakirja." ma:contentTypeScope="" ma:versionID="59ce90ea95f6fc28dd026f97a886d87d">
  <xsd:schema xmlns:xsd="http://www.w3.org/2001/XMLSchema" xmlns:xs="http://www.w3.org/2001/XMLSchema" xmlns:p="http://schemas.microsoft.com/office/2006/metadata/properties" xmlns:ns1="http://schemas.microsoft.com/sharepoint/v3" xmlns:ns3="c0860cd3-6625-44ed-b73e-90f4b56cf4fb" xmlns:ns4="fb5979d9-2109-432e-b39b-476dfabaec5a" targetNamespace="http://schemas.microsoft.com/office/2006/metadata/properties" ma:root="true" ma:fieldsID="909d46d81946227e6de0598c40b4c1d7" ns1:_="" ns3:_="" ns4:_="">
    <xsd:import namespace="http://schemas.microsoft.com/sharepoint/v3"/>
    <xsd:import namespace="c0860cd3-6625-44ed-b73e-90f4b56cf4fb"/>
    <xsd:import namespace="fb5979d9-2109-432e-b39b-476dfabaec5a"/>
    <xsd:element name="properties">
      <xsd:complexType>
        <xsd:sequence>
          <xsd:element name="documentManagement">
            <xsd:complexType>
              <xsd:all>
                <xsd:element ref="ns3:SharedWithDetails" minOccurs="0"/>
                <xsd:element ref="ns3:SharedWithUsers" minOccurs="0"/>
                <xsd:element ref="ns3:SharingHintHash" minOccurs="0"/>
                <xsd:element ref="ns4:NotebookType" minOccurs="0"/>
                <xsd:element ref="ns4:FolderType" minOccurs="0"/>
                <xsd:element ref="ns4:Owner" minOccurs="0"/>
                <xsd:element ref="ns4:DefaultSectionNames" minOccurs="0"/>
                <xsd:element ref="ns4:CultureName" minOccurs="0"/>
                <xsd:element ref="ns4:AppVersion" minOccurs="0"/>
                <xsd:element ref="ns4:Teachers" minOccurs="0"/>
                <xsd:element ref="ns4:Students" minOccurs="0"/>
                <xsd:element ref="ns4:Student_Groups" minOccurs="0"/>
                <xsd:element ref="ns4:Invited_Teachers" minOccurs="0"/>
                <xsd:element ref="ns4:Invited_Students" minOccurs="0"/>
                <xsd:element ref="ns4:Self_Registration_Enabled" minOccurs="0"/>
                <xsd:element ref="ns4:Has_Teacher_Only_SectionGroup" minOccurs="0"/>
                <xsd:element ref="ns4:Is_Collaboration_Space_Locked" minOccurs="0"/>
                <xsd:element ref="ns4:MediaServiceMetadata" minOccurs="0"/>
                <xsd:element ref="ns4:MediaServiceFastMetadata" minOccurs="0"/>
                <xsd:element ref="ns1:_ip_UnifiedCompliancePolicyProperties" minOccurs="0"/>
                <xsd:element ref="ns1:_ip_UnifiedCompliancePolicyUIAction" minOccurs="0"/>
                <xsd:element ref="ns4:MediaServiceDateTaken" minOccurs="0"/>
                <xsd:element ref="ns4:MediaServiceAutoTags" minOccurs="0"/>
                <xsd:element ref="ns4:MediaServiceOCR" minOccurs="0"/>
                <xsd:element ref="ns4:MediaServiceGenerationTime" minOccurs="0"/>
                <xsd:element ref="ns4: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7" nillable="true" ma:displayName="Yhtenäisen yhteensopivuuskäytännön ominaisuudet" ma:hidden="true" ma:internalName="_ip_UnifiedCompliancePolicyProperties">
      <xsd:simpleType>
        <xsd:restriction base="dms:Note"/>
      </xsd:simpleType>
    </xsd:element>
    <xsd:element name="_ip_UnifiedCompliancePolicyUIAction" ma:index="28" nillable="true" ma:displayName="Yhtenäisen yhteensopivuuskäytännön käyttöliittymän toiminto"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0860cd3-6625-44ed-b73e-90f4b56cf4fb" elementFormDefault="qualified">
    <xsd:import namespace="http://schemas.microsoft.com/office/2006/documentManagement/types"/>
    <xsd:import namespace="http://schemas.microsoft.com/office/infopath/2007/PartnerControls"/>
    <xsd:element name="SharedWithDetails" ma:index="8" nillable="true" ma:displayName="Jakamisen tiedot" ma:description="" ma:internalName="SharedWithDetails" ma:readOnly="true">
      <xsd:simpleType>
        <xsd:restriction base="dms:Note">
          <xsd:maxLength value="255"/>
        </xsd:restriction>
      </xsd:simpleType>
    </xsd:element>
    <xsd:element name="SharedWithUsers" ma:index="9" nillable="true" ma:displayName="Jaettu"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ingHintHash" ma:index="10" nillable="true" ma:displayName="Jakamisvihjeen hajautus"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b5979d9-2109-432e-b39b-476dfabaec5a" elementFormDefault="qualified">
    <xsd:import namespace="http://schemas.microsoft.com/office/2006/documentManagement/types"/>
    <xsd:import namespace="http://schemas.microsoft.com/office/infopath/2007/PartnerControls"/>
    <xsd:element name="NotebookType" ma:index="11" nillable="true" ma:displayName="Notebook Type" ma:internalName="NotebookType">
      <xsd:simpleType>
        <xsd:restriction base="dms:Text"/>
      </xsd:simpleType>
    </xsd:element>
    <xsd:element name="FolderType" ma:index="12" nillable="true" ma:displayName="Folder Type" ma:internalName="FolderType">
      <xsd:simpleType>
        <xsd:restriction base="dms:Text"/>
      </xsd:simpleType>
    </xsd:element>
    <xsd:element name="Owner" ma:index="13" nillable="true" ma:displayName="Owner"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efaultSectionNames" ma:index="14" nillable="true" ma:displayName="Default Section Names" ma:internalName="DefaultSectionNames">
      <xsd:simpleType>
        <xsd:restriction base="dms:Note">
          <xsd:maxLength value="255"/>
        </xsd:restriction>
      </xsd:simpleType>
    </xsd:element>
    <xsd:element name="CultureName" ma:index="15" nillable="true" ma:displayName="Culture Name" ma:internalName="CultureName">
      <xsd:simpleType>
        <xsd:restriction base="dms:Text"/>
      </xsd:simpleType>
    </xsd:element>
    <xsd:element name="AppVersion" ma:index="16" nillable="true" ma:displayName="App Version" ma:internalName="AppVersion">
      <xsd:simpleType>
        <xsd:restriction base="dms:Text"/>
      </xsd:simpleType>
    </xsd:element>
    <xsd:element name="Teachers" ma:index="17" nillable="true" ma:displayName="Teachers" ma:internalName="Teachers">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tudents" ma:index="18" nillable="true" ma:displayName="Students" ma:internalName="Students">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tudent_Groups" ma:index="19" nillable="true" ma:displayName="Student Groups" ma:internalName="Student_Groups">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Invited_Teachers" ma:index="20" nillable="true" ma:displayName="Invited Teachers" ma:internalName="Invited_Teachers">
      <xsd:simpleType>
        <xsd:restriction base="dms:Note">
          <xsd:maxLength value="255"/>
        </xsd:restriction>
      </xsd:simpleType>
    </xsd:element>
    <xsd:element name="Invited_Students" ma:index="21" nillable="true" ma:displayName="Invited Students" ma:internalName="Invited_Students">
      <xsd:simpleType>
        <xsd:restriction base="dms:Note">
          <xsd:maxLength value="255"/>
        </xsd:restriction>
      </xsd:simpleType>
    </xsd:element>
    <xsd:element name="Self_Registration_Enabled" ma:index="22" nillable="true" ma:displayName="Self Registration Enabled" ma:internalName="Self_Registration_Enabled">
      <xsd:simpleType>
        <xsd:restriction base="dms:Boolean"/>
      </xsd:simpleType>
    </xsd:element>
    <xsd:element name="Has_Teacher_Only_SectionGroup" ma:index="23" nillable="true" ma:displayName="Has Teacher Only SectionGroup" ma:internalName="Has_Teacher_Only_SectionGroup">
      <xsd:simpleType>
        <xsd:restriction base="dms:Boolean"/>
      </xsd:simpleType>
    </xsd:element>
    <xsd:element name="Is_Collaboration_Space_Locked" ma:index="24" nillable="true" ma:displayName="Is Collaboration Space Locked" ma:internalName="Is_Collaboration_Space_Locked">
      <xsd:simpleType>
        <xsd:restriction base="dms:Boolean"/>
      </xsd:simpleType>
    </xsd:element>
    <xsd:element name="MediaServiceMetadata" ma:index="25" nillable="true" ma:displayName="MediaServiceMetadata" ma:description="" ma:hidden="true" ma:internalName="MediaServiceMetadata" ma:readOnly="true">
      <xsd:simpleType>
        <xsd:restriction base="dms:Note"/>
      </xsd:simpleType>
    </xsd:element>
    <xsd:element name="MediaServiceFastMetadata" ma:index="26" nillable="true" ma:displayName="MediaServiceFastMetadata" ma:description="" ma:hidden="true" ma:internalName="MediaServiceFastMetadata" ma:readOnly="true">
      <xsd:simpleType>
        <xsd:restriction base="dms:Note"/>
      </xsd:simpleType>
    </xsd:element>
    <xsd:element name="MediaServiceDateTaken" ma:index="29" nillable="true" ma:displayName="MediaServiceDateTaken" ma:hidden="true" ma:internalName="MediaServiceDateTaken" ma:readOnly="true">
      <xsd:simpleType>
        <xsd:restriction base="dms:Text"/>
      </xsd:simpleType>
    </xsd:element>
    <xsd:element name="MediaServiceAutoTags" ma:index="30" nillable="true" ma:displayName="Tags" ma:internalName="MediaServiceAutoTags" ma:readOnly="true">
      <xsd:simpleType>
        <xsd:restriction base="dms:Text"/>
      </xsd:simpleType>
    </xsd:element>
    <xsd:element name="MediaServiceOCR" ma:index="31" nillable="true" ma:displayName="Extracted Text" ma:internalName="MediaServiceOCR" ma:readOnly="true">
      <xsd:simpleType>
        <xsd:restriction base="dms:Note">
          <xsd:maxLength value="255"/>
        </xsd:restriction>
      </xsd:simpleType>
    </xsd:element>
    <xsd:element name="MediaServiceGenerationTime" ma:index="32" nillable="true" ma:displayName="MediaServiceGenerationTime" ma:hidden="true" ma:internalName="MediaServiceGenerationTime" ma:readOnly="true">
      <xsd:simpleType>
        <xsd:restriction base="dms:Text"/>
      </xsd:simpleType>
    </xsd:element>
    <xsd:element name="MediaServiceEventHashCode" ma:index="33"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ältölaji"/>
        <xsd:element ref="dc:title" minOccurs="0" maxOccurs="1" ma:index="4" ma:displayName="Otsikk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EF67462-9D97-410C-A906-F1F6AD8ACBFD}">
  <ds:schemaRefs>
    <ds:schemaRef ds:uri="http://schemas.microsoft.com/sharepoint/v3/contenttype/forms"/>
  </ds:schemaRefs>
</ds:datastoreItem>
</file>

<file path=customXml/itemProps2.xml><?xml version="1.0" encoding="utf-8"?>
<ds:datastoreItem xmlns:ds="http://schemas.openxmlformats.org/officeDocument/2006/customXml" ds:itemID="{ED9B0E7C-EC1E-463B-AE85-656B6D0E440D}">
  <ds:schemaRefs>
    <ds:schemaRef ds:uri="http://purl.org/dc/elements/1.1/"/>
    <ds:schemaRef ds:uri="http://schemas.microsoft.com/office/2006/metadata/properties"/>
    <ds:schemaRef ds:uri="http://schemas.microsoft.com/sharepoint/v3"/>
    <ds:schemaRef ds:uri="http://purl.org/dc/terms/"/>
    <ds:schemaRef ds:uri="c0860cd3-6625-44ed-b73e-90f4b56cf4fb"/>
    <ds:schemaRef ds:uri="http://schemas.microsoft.com/office/2006/documentManagement/types"/>
    <ds:schemaRef ds:uri="http://schemas.microsoft.com/office/infopath/2007/PartnerControls"/>
    <ds:schemaRef ds:uri="http://schemas.openxmlformats.org/package/2006/metadata/core-properties"/>
    <ds:schemaRef ds:uri="fb5979d9-2109-432e-b39b-476dfabaec5a"/>
    <ds:schemaRef ds:uri="http://www.w3.org/XML/1998/namespace"/>
    <ds:schemaRef ds:uri="http://purl.org/dc/dcmitype/"/>
  </ds:schemaRefs>
</ds:datastoreItem>
</file>

<file path=customXml/itemProps3.xml><?xml version="1.0" encoding="utf-8"?>
<ds:datastoreItem xmlns:ds="http://schemas.openxmlformats.org/officeDocument/2006/customXml" ds:itemID="{386A1004-54C5-4923-86E1-5AB7258A468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c0860cd3-6625-44ed-b73e-90f4b56cf4fb"/>
    <ds:schemaRef ds:uri="fb5979d9-2109-432e-b39b-476dfabaec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Laskentataulukot</vt:lpstr>
      </vt:variant>
      <vt:variant>
        <vt:i4>23</vt:i4>
      </vt:variant>
    </vt:vector>
  </HeadingPairs>
  <TitlesOfParts>
    <vt:vector size="23" baseType="lpstr">
      <vt:lpstr>Etusivu</vt:lpstr>
      <vt:lpstr>Ohje</vt:lpstr>
      <vt:lpstr>Lähtötiedot</vt:lpstr>
      <vt:lpstr>Energiantarve</vt:lpstr>
      <vt:lpstr>Rehuntuotanto</vt:lpstr>
      <vt:lpstr>Rehun käyttö, nettosato</vt:lpstr>
      <vt:lpstr>Hävikki</vt:lpstr>
      <vt:lpstr>Säilörehun tuotantokustannus</vt:lpstr>
      <vt:lpstr>Maidontuotantokustannus</vt:lpstr>
      <vt:lpstr>Emolehmän tuotantokustannus 1</vt:lpstr>
      <vt:lpstr>Emolehmän tuotantokustannus 2</vt:lpstr>
      <vt:lpstr>Lihasonnin tuotantokustannus</vt:lpstr>
      <vt:lpstr>Lihahiehon tuotantokustannus</vt:lpstr>
      <vt:lpstr>Yhteenveto</vt:lpstr>
      <vt:lpstr>Rehujen tuotantokustannukset</vt:lpstr>
      <vt:lpstr>Tuotantokustannusvertailu</vt:lpstr>
      <vt:lpstr>Energiantarve Lehmä+uudistus</vt:lpstr>
      <vt:lpstr>Energiantarve Emolehmä</vt:lpstr>
      <vt:lpstr>Energiantarve Emol. uudistus</vt:lpstr>
      <vt:lpstr>Energiantarve Lihasonni</vt:lpstr>
      <vt:lpstr>Energiantarve Lihahieho</vt:lpstr>
      <vt:lpstr>Energiantarve Siitossonni</vt:lpstr>
      <vt:lpstr>Lisätietoja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Savonia</dc:creator>
  <cp:keywords/>
  <dc:description/>
  <cp:lastModifiedBy>Tuomivaara Anne</cp:lastModifiedBy>
  <cp:revision/>
  <dcterms:created xsi:type="dcterms:W3CDTF">2020-09-16T05:25:43Z</dcterms:created>
  <dcterms:modified xsi:type="dcterms:W3CDTF">2023-11-14T14:42:22Z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0x01010066A4579F87CF8142AACB68DFB1293E49</vt:lpwstr>
  </property>
</Properties>
</file>